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roli/Desktop/Thèse/Module bovins/Corrèze/"/>
    </mc:Choice>
  </mc:AlternateContent>
  <xr:revisionPtr revIDLastSave="0" documentId="13_ncr:1_{E3333F59-60F3-6647-95B8-04EEC1E22E00}" xr6:coauthVersionLast="36" xr6:coauthVersionMax="36" xr10:uidLastSave="{00000000-0000-0000-0000-000000000000}"/>
  <bookViews>
    <workbookView xWindow="13540" yWindow="460" windowWidth="15260" windowHeight="17540" activeTab="3" xr2:uid="{A191218D-2C63-3148-8E14-3CA24737ADCC}"/>
  </bookViews>
  <sheets>
    <sheet name="module" sheetId="1" r:id="rId1"/>
    <sheet name="Dim produits" sheetId="2" r:id="rId2"/>
    <sheet name="Dim secteurs" sheetId="3" r:id="rId3"/>
    <sheet name="ter1" sheetId="4" r:id="rId4"/>
    <sheet name="data" sheetId="5" r:id="rId5"/>
    <sheet name="min_max" sheetId="6" r:id="rId6"/>
    <sheet name="other_constraint" sheetId="7" r:id="rId7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8" i="1" l="1"/>
  <c r="G58" i="1" s="1"/>
  <c r="E2" i="1" l="1"/>
  <c r="E42" i="1" s="1"/>
  <c r="F46" i="1" l="1"/>
  <c r="G46" i="1" s="1"/>
  <c r="F44" i="1"/>
  <c r="G44" i="1" s="1"/>
  <c r="F47" i="1"/>
  <c r="G47" i="1" s="1"/>
  <c r="F45" i="1"/>
  <c r="G45" i="1" s="1"/>
  <c r="G49" i="1"/>
  <c r="G48" i="1" s="1"/>
  <c r="E4" i="1"/>
  <c r="E25" i="1"/>
  <c r="F27" i="1" l="1"/>
  <c r="G27" i="1" s="1"/>
  <c r="F30" i="1"/>
  <c r="G40" i="1"/>
  <c r="G43" i="1"/>
  <c r="F8" i="1"/>
  <c r="G8" i="1" s="1"/>
  <c r="G55" i="1" s="1"/>
  <c r="F6" i="1"/>
  <c r="G6" i="1" s="1"/>
  <c r="F13" i="1"/>
  <c r="F9" i="1"/>
  <c r="G9" i="1" s="1"/>
  <c r="G56" i="1" s="1"/>
  <c r="F7" i="1"/>
  <c r="G7" i="1" s="1"/>
  <c r="G54" i="1" s="1"/>
  <c r="G23" i="1"/>
  <c r="F11" i="1"/>
  <c r="G11" i="1" s="1"/>
  <c r="G70" i="1" l="1"/>
  <c r="G5" i="1"/>
  <c r="G53" i="1"/>
  <c r="G36" i="1"/>
  <c r="G39" i="1"/>
  <c r="G35" i="1"/>
  <c r="G31" i="1"/>
  <c r="G38" i="1"/>
  <c r="G34" i="1"/>
  <c r="G37" i="1"/>
  <c r="G33" i="1"/>
  <c r="G32" i="1"/>
  <c r="G60" i="1"/>
  <c r="G19" i="1"/>
  <c r="G15" i="1"/>
  <c r="G22" i="1"/>
  <c r="G18" i="1"/>
  <c r="G14" i="1"/>
  <c r="G21" i="1"/>
  <c r="G17" i="1"/>
  <c r="G20" i="1"/>
  <c r="G16" i="1"/>
  <c r="G26" i="1"/>
  <c r="G57" i="1"/>
  <c r="G68" i="1" l="1"/>
  <c r="G63" i="1"/>
  <c r="G61" i="1"/>
  <c r="G62" i="1"/>
  <c r="G65" i="1"/>
  <c r="G64" i="1"/>
  <c r="G69" i="1"/>
  <c r="G66" i="1"/>
  <c r="G28" i="1"/>
  <c r="G10" i="1"/>
  <c r="G67" i="1"/>
</calcChain>
</file>

<file path=xl/sharedStrings.xml><?xml version="1.0" encoding="utf-8"?>
<sst xmlns="http://schemas.openxmlformats.org/spreadsheetml/2006/main" count="274" uniqueCount="61">
  <si>
    <t>Bovins</t>
  </si>
  <si>
    <t>Nombre de têtes de vaches</t>
  </si>
  <si>
    <t>Module VSLM</t>
  </si>
  <si>
    <t>Paramètre</t>
  </si>
  <si>
    <t>Masse (tMS ou 100L lait, 100kgcarcasse)</t>
  </si>
  <si>
    <t>tN</t>
  </si>
  <si>
    <t>UGB "vaches"</t>
  </si>
  <si>
    <t>Inputs</t>
  </si>
  <si>
    <t>Herbe pâturée</t>
  </si>
  <si>
    <t>Foin</t>
  </si>
  <si>
    <t>Enrubannage</t>
  </si>
  <si>
    <t>Céréales</t>
  </si>
  <si>
    <t>Outputs</t>
  </si>
  <si>
    <t>Lait</t>
  </si>
  <si>
    <t>Taux d'abattage</t>
  </si>
  <si>
    <t>Carcasse</t>
  </si>
  <si>
    <t>Viande désossée</t>
  </si>
  <si>
    <t>Graisse comestible</t>
  </si>
  <si>
    <t>Abats</t>
  </si>
  <si>
    <t>Os</t>
  </si>
  <si>
    <t>Peau</t>
  </si>
  <si>
    <t>Sang</t>
  </si>
  <si>
    <t>Boyaux</t>
  </si>
  <si>
    <t>Tête et pied</t>
  </si>
  <si>
    <t>Graisse non-comestible</t>
  </si>
  <si>
    <t>Déjections</t>
  </si>
  <si>
    <t>UGB "veaux et jeunes bovins"</t>
  </si>
  <si>
    <t>UGB "renouvellement"</t>
  </si>
  <si>
    <t>Total</t>
  </si>
  <si>
    <t>Level</t>
  </si>
  <si>
    <t>Produits</t>
  </si>
  <si>
    <t>Equilibre matière ?</t>
  </si>
  <si>
    <t>Transportable entre régions ?</t>
  </si>
  <si>
    <t>Poids de consolidation</t>
  </si>
  <si>
    <t>Table de consolidation</t>
  </si>
  <si>
    <t>Sankey?</t>
  </si>
  <si>
    <t>Couleur</t>
  </si>
  <si>
    <t>Secteurs</t>
  </si>
  <si>
    <t>Poids de consolidation (1 par défaut)</t>
  </si>
  <si>
    <t>Période</t>
  </si>
  <si>
    <t>Région</t>
  </si>
  <si>
    <t>Table</t>
  </si>
  <si>
    <t>Origine</t>
  </si>
  <si>
    <t>Destination</t>
  </si>
  <si>
    <t>Quantité_param</t>
  </si>
  <si>
    <t>Incertitude (%)</t>
  </si>
  <si>
    <t>2 sigma</t>
  </si>
  <si>
    <t>R</t>
  </si>
  <si>
    <t>E</t>
  </si>
  <si>
    <t>min</t>
  </si>
  <si>
    <t>max</t>
  </si>
  <si>
    <t>id</t>
  </si>
  <si>
    <t>Ressources / Emplois</t>
  </si>
  <si>
    <t>eq = 0</t>
  </si>
  <si>
    <t>eq &lt;= 0</t>
  </si>
  <si>
    <t>eq &gt;= 0</t>
  </si>
  <si>
    <t>Vaches</t>
  </si>
  <si>
    <t>Renouvellement</t>
  </si>
  <si>
    <t>Veaux</t>
  </si>
  <si>
    <t>Paille</t>
  </si>
  <si>
    <t>Litière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</si>
</sst>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%"/>
    <numFmt numFmtId="165" formatCode="0.0%"/>
  </numFmts>
  <fonts count="8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name val="Calibri (Corps)_x0000_"/>
    </font>
    <font>
      <sz val="12"/>
      <color theme="1"/>
      <name val="Calibri (Corps)_x0000_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164" fontId="1" fillId="0" borderId="6" xfId="1" applyNumberFormat="1" applyBorder="1"/>
    <xf numFmtId="0" fontId="0" fillId="0" borderId="0" xfId="0" applyBorder="1"/>
    <xf numFmtId="164" fontId="1" fillId="0" borderId="0" xfId="1" applyNumberFormat="1" applyBorder="1"/>
    <xf numFmtId="0" fontId="3" fillId="0" borderId="1" xfId="0" applyFont="1" applyFill="1" applyBorder="1"/>
    <xf numFmtId="0" fontId="0" fillId="0" borderId="7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0" xfId="0" applyFill="1" applyBorder="1"/>
    <xf numFmtId="0" fontId="0" fillId="0" borderId="4" xfId="0" applyFill="1" applyBorder="1"/>
    <xf numFmtId="0" fontId="2" fillId="0" borderId="3" xfId="0" applyFont="1" applyFill="1" applyBorder="1"/>
    <xf numFmtId="0" fontId="4" fillId="0" borderId="3" xfId="0" applyFont="1" applyFill="1" applyBorder="1"/>
    <xf numFmtId="0" fontId="4" fillId="0" borderId="4" xfId="0" applyFont="1" applyFill="1" applyBorder="1"/>
    <xf numFmtId="165" fontId="1" fillId="0" borderId="0" xfId="1" applyNumberFormat="1" applyFill="1" applyBorder="1"/>
    <xf numFmtId="0" fontId="5" fillId="0" borderId="3" xfId="0" applyFont="1" applyFill="1" applyBorder="1"/>
    <xf numFmtId="0" fontId="0" fillId="0" borderId="3" xfId="0" applyFont="1" applyFill="1" applyBorder="1"/>
    <xf numFmtId="0" fontId="0" fillId="0" borderId="4" xfId="0" applyFont="1" applyFill="1" applyBorder="1"/>
    <xf numFmtId="0" fontId="5" fillId="0" borderId="5" xfId="0" applyFont="1" applyFill="1" applyBorder="1"/>
    <xf numFmtId="0" fontId="0" fillId="0" borderId="8" xfId="0" applyFill="1" applyBorder="1"/>
    <xf numFmtId="0" fontId="0" fillId="0" borderId="6" xfId="0" applyFill="1" applyBorder="1"/>
    <xf numFmtId="0" fontId="5" fillId="0" borderId="0" xfId="0" applyFont="1"/>
    <xf numFmtId="3" fontId="0" fillId="0" borderId="0" xfId="0" applyNumberFormat="1"/>
    <xf numFmtId="9" fontId="0" fillId="0" borderId="0" xfId="0" applyNumberFormat="1"/>
    <xf numFmtId="3" fontId="5" fillId="0" borderId="0" xfId="0" applyNumberFormat="1" applyFont="1"/>
    <xf numFmtId="0" fontId="5" fillId="0" borderId="0" xfId="0" applyFont="1" applyAlignment="1">
      <alignment horizontal="left" vertical="center"/>
    </xf>
    <xf numFmtId="1" fontId="5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  <xf numFmtId="0" fontId="6" fillId="0" borderId="0" xfId="0" applyFont="1"/>
    <xf numFmtId="0" fontId="7" fillId="0" borderId="0" xfId="0" applyFont="1"/>
    <xf numFmtId="0" fontId="0" fillId="2" borderId="0" xfId="0" applyFill="1"/>
    <xf numFmtId="0" fontId="5" fillId="2" borderId="0" xfId="0" applyFont="1" applyFill="1"/>
    <xf numFmtId="0" fontId="5" fillId="0" borderId="0" xfId="0" applyFont="1" applyFill="1"/>
    <xf numFmtId="0" fontId="0" fillId="0" borderId="0" xfId="0" applyFill="1"/>
    <xf numFmtId="9" fontId="0" fillId="0" borderId="0" xfId="1" applyFont="1"/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EA86AC-64DD-0544-BDD2-088421CBBB6F}">
  <dimension ref="A1:G70"/>
  <sheetViews>
    <sheetView topLeftCell="A38" workbookViewId="0">
      <selection activeCell="G58" sqref="G58"/>
    </sheetView>
  </sheetViews>
  <sheetFormatPr baseColWidth="10" defaultRowHeight="16"/>
  <sheetData>
    <row r="1" spans="1:7">
      <c r="A1" s="1" t="s">
        <v>0</v>
      </c>
      <c r="B1" s="2"/>
      <c r="D1" s="9" t="s">
        <v>2</v>
      </c>
      <c r="E1" s="10"/>
      <c r="F1" s="10"/>
      <c r="G1" s="11"/>
    </row>
    <row r="2" spans="1:7">
      <c r="A2" s="3" t="s">
        <v>1</v>
      </c>
      <c r="B2" s="4">
        <v>138728</v>
      </c>
      <c r="D2" s="12" t="s">
        <v>1</v>
      </c>
      <c r="E2" s="13">
        <f>B2*B3</f>
        <v>54976.026014954587</v>
      </c>
      <c r="F2" s="13"/>
      <c r="G2" s="14"/>
    </row>
    <row r="3" spans="1:7">
      <c r="A3" s="5" t="s">
        <v>2</v>
      </c>
      <c r="B3" s="6">
        <v>0.39628644552617054</v>
      </c>
      <c r="D3" s="12"/>
      <c r="E3" s="13" t="s">
        <v>3</v>
      </c>
      <c r="F3" s="13" t="s">
        <v>4</v>
      </c>
      <c r="G3" s="14" t="s">
        <v>5</v>
      </c>
    </row>
    <row r="4" spans="1:7">
      <c r="A4" s="7"/>
      <c r="B4" s="8"/>
      <c r="D4" s="15" t="s">
        <v>6</v>
      </c>
      <c r="E4" s="13">
        <f>0.814*E2</f>
        <v>44750.485176173032</v>
      </c>
      <c r="F4" s="13"/>
      <c r="G4" s="14"/>
    </row>
    <row r="5" spans="1:7">
      <c r="A5" s="7"/>
      <c r="B5" s="8"/>
      <c r="D5" s="16" t="s">
        <v>7</v>
      </c>
      <c r="E5" s="13"/>
      <c r="F5" s="13"/>
      <c r="G5" s="17">
        <f>SUM(G6:G9)</f>
        <v>7240.7851282029142</v>
      </c>
    </row>
    <row r="6" spans="1:7">
      <c r="D6" s="12" t="s">
        <v>8</v>
      </c>
      <c r="E6" s="13">
        <v>4.1280000000000001</v>
      </c>
      <c r="F6" s="13">
        <f>E6*E4</f>
        <v>184730.00280724227</v>
      </c>
      <c r="G6" s="14">
        <f>30*F6/1000</f>
        <v>5541.9000842172682</v>
      </c>
    </row>
    <row r="7" spans="1:7">
      <c r="D7" s="12" t="s">
        <v>9</v>
      </c>
      <c r="E7" s="13">
        <v>1.167</v>
      </c>
      <c r="F7" s="13">
        <f>E7*E4</f>
        <v>52223.81620059393</v>
      </c>
      <c r="G7" s="14">
        <f>20*F7/1000</f>
        <v>1044.4763240118787</v>
      </c>
    </row>
    <row r="8" spans="1:7">
      <c r="D8" s="12" t="s">
        <v>10</v>
      </c>
      <c r="E8" s="13">
        <v>0.48899999999999999</v>
      </c>
      <c r="F8" s="13">
        <f>E8*E4</f>
        <v>21882.987251148614</v>
      </c>
      <c r="G8" s="14">
        <f>25*F8/1000</f>
        <v>547.07468127871539</v>
      </c>
    </row>
    <row r="9" spans="1:7">
      <c r="D9" s="12" t="s">
        <v>11</v>
      </c>
      <c r="E9" s="13">
        <v>0.123</v>
      </c>
      <c r="F9" s="13">
        <f>E9*E4</f>
        <v>5504.3096766692825</v>
      </c>
      <c r="G9" s="14">
        <f>19.5*F9/1000</f>
        <v>107.33403869505102</v>
      </c>
    </row>
    <row r="10" spans="1:7">
      <c r="D10" s="16" t="s">
        <v>12</v>
      </c>
      <c r="E10" s="13"/>
      <c r="F10" s="13"/>
      <c r="G10" s="17">
        <f>SUM(G11:G23)</f>
        <v>5759.6357006588387</v>
      </c>
    </row>
    <row r="11" spans="1:7">
      <c r="D11" s="12" t="s">
        <v>13</v>
      </c>
      <c r="E11" s="13">
        <v>2234</v>
      </c>
      <c r="F11" s="13">
        <f>E11*E4/(1.032*100)</f>
        <v>968726.58801909443</v>
      </c>
      <c r="G11" s="14">
        <f>0.53*F11/1000</f>
        <v>513.42509165012007</v>
      </c>
    </row>
    <row r="12" spans="1:7">
      <c r="D12" s="12" t="s">
        <v>14</v>
      </c>
      <c r="E12" s="18">
        <v>0.17599999999999999</v>
      </c>
      <c r="F12" s="13"/>
      <c r="G12" s="14"/>
    </row>
    <row r="13" spans="1:7">
      <c r="D13" s="12" t="s">
        <v>15</v>
      </c>
      <c r="E13" s="13">
        <v>453.7</v>
      </c>
      <c r="F13" s="13">
        <f>E12*E4*E13/100</f>
        <v>35733.799418996277</v>
      </c>
      <c r="G13" s="14"/>
    </row>
    <row r="14" spans="1:7">
      <c r="D14" s="19" t="s">
        <v>16</v>
      </c>
      <c r="E14" s="13"/>
      <c r="F14" s="13"/>
      <c r="G14" s="14">
        <f>2.17*F13/1000</f>
        <v>77.542344739221917</v>
      </c>
    </row>
    <row r="15" spans="1:7">
      <c r="D15" s="19" t="s">
        <v>17</v>
      </c>
      <c r="E15" s="13"/>
      <c r="F15" s="13"/>
      <c r="G15" s="14">
        <f>0.03*F13/(2*1000)</f>
        <v>0.53600699128494411</v>
      </c>
    </row>
    <row r="16" spans="1:7">
      <c r="D16" s="19" t="s">
        <v>18</v>
      </c>
      <c r="E16" s="13"/>
      <c r="F16" s="13"/>
      <c r="G16" s="14">
        <f>0.17*F13/(2*1000)</f>
        <v>3.0373729506146838</v>
      </c>
    </row>
    <row r="17" spans="4:7">
      <c r="D17" s="19" t="s">
        <v>19</v>
      </c>
      <c r="E17" s="13"/>
      <c r="F17" s="13"/>
      <c r="G17" s="14">
        <f>1.06*F13/1000</f>
        <v>37.877827384136054</v>
      </c>
    </row>
    <row r="18" spans="4:7">
      <c r="D18" s="19" t="s">
        <v>20</v>
      </c>
      <c r="E18" s="13"/>
      <c r="F18" s="13"/>
      <c r="G18" s="14">
        <f>0.81*F13/1000</f>
        <v>28.944377529386987</v>
      </c>
    </row>
    <row r="19" spans="4:7">
      <c r="D19" s="19" t="s">
        <v>21</v>
      </c>
      <c r="E19" s="13"/>
      <c r="F19" s="13"/>
      <c r="G19" s="14">
        <f>0.19*F13/1000</f>
        <v>6.7894218896092928</v>
      </c>
    </row>
    <row r="20" spans="4:7">
      <c r="D20" s="19" t="s">
        <v>22</v>
      </c>
      <c r="E20" s="13"/>
      <c r="F20" s="13"/>
      <c r="G20" s="14">
        <f>0.24*F13/1000+0.17*F13/(2*1000)</f>
        <v>11.613484811173789</v>
      </c>
    </row>
    <row r="21" spans="4:7">
      <c r="D21" s="19" t="s">
        <v>23</v>
      </c>
      <c r="E21" s="13"/>
      <c r="F21" s="13"/>
      <c r="G21" s="14">
        <f>0.35*F13/1000</f>
        <v>12.506829796648697</v>
      </c>
    </row>
    <row r="22" spans="4:7">
      <c r="D22" s="19" t="s">
        <v>24</v>
      </c>
      <c r="E22" s="13"/>
      <c r="F22" s="13"/>
      <c r="G22" s="14">
        <f>0.03*F13/1000+0.03*F13/(2*1000)</f>
        <v>1.6080209738548323</v>
      </c>
    </row>
    <row r="23" spans="4:7">
      <c r="D23" s="12" t="s">
        <v>25</v>
      </c>
      <c r="E23" s="13">
        <v>113.2</v>
      </c>
      <c r="F23" s="13"/>
      <c r="G23" s="14">
        <f>E23*E4/1000</f>
        <v>5065.7549219427874</v>
      </c>
    </row>
    <row r="24" spans="4:7">
      <c r="D24" s="12"/>
      <c r="E24" s="13"/>
      <c r="F24" s="13"/>
      <c r="G24" s="14"/>
    </row>
    <row r="25" spans="4:7">
      <c r="D25" s="15" t="s">
        <v>26</v>
      </c>
      <c r="E25" s="13">
        <f>0.359*E2</f>
        <v>19736.393339368697</v>
      </c>
      <c r="F25" s="13"/>
      <c r="G25" s="14"/>
    </row>
    <row r="26" spans="4:7">
      <c r="D26" s="16" t="s">
        <v>7</v>
      </c>
      <c r="E26" s="13"/>
      <c r="F26" s="13"/>
      <c r="G26" s="17">
        <f>SUM(G27)</f>
        <v>456.11722979064285</v>
      </c>
    </row>
    <row r="27" spans="4:7">
      <c r="D27" s="20" t="s">
        <v>13</v>
      </c>
      <c r="E27" s="13">
        <v>4500</v>
      </c>
      <c r="F27" s="13">
        <f>E27*E25/(1.032*100)</f>
        <v>860598.54677479784</v>
      </c>
      <c r="G27" s="21">
        <f>0.53*F27/1000</f>
        <v>456.11722979064285</v>
      </c>
    </row>
    <row r="28" spans="4:7">
      <c r="D28" s="16" t="s">
        <v>12</v>
      </c>
      <c r="E28" s="13"/>
      <c r="F28" s="13"/>
      <c r="G28" s="17">
        <f>SUM(G29:G40)</f>
        <v>648.11882623915926</v>
      </c>
    </row>
    <row r="29" spans="4:7">
      <c r="D29" s="12" t="s">
        <v>14</v>
      </c>
      <c r="E29" s="18">
        <v>0.80800000000000005</v>
      </c>
      <c r="F29" s="13"/>
      <c r="G29" s="14"/>
    </row>
    <row r="30" spans="4:7">
      <c r="D30" s="12" t="s">
        <v>15</v>
      </c>
      <c r="E30" s="13">
        <v>331.8</v>
      </c>
      <c r="F30" s="13">
        <f>E29*E25*E30/100</f>
        <v>52912.165304820475</v>
      </c>
      <c r="G30" s="14"/>
    </row>
    <row r="31" spans="4:7">
      <c r="D31" s="19" t="s">
        <v>16</v>
      </c>
      <c r="E31" s="13"/>
      <c r="F31" s="13"/>
      <c r="G31" s="14">
        <f>2.17*F30/1000</f>
        <v>114.81939871146042</v>
      </c>
    </row>
    <row r="32" spans="4:7">
      <c r="D32" s="19" t="s">
        <v>17</v>
      </c>
      <c r="E32" s="13"/>
      <c r="F32" s="13"/>
      <c r="G32" s="14">
        <f>0.03*F30/(2*1000)</f>
        <v>0.79368247957230709</v>
      </c>
    </row>
    <row r="33" spans="4:7">
      <c r="D33" s="19" t="s">
        <v>18</v>
      </c>
      <c r="E33" s="13"/>
      <c r="F33" s="13"/>
      <c r="G33" s="14">
        <f>0.17*F30/(2*1000)</f>
        <v>4.4975340509097403</v>
      </c>
    </row>
    <row r="34" spans="4:7">
      <c r="D34" s="19" t="s">
        <v>19</v>
      </c>
      <c r="E34" s="13"/>
      <c r="F34" s="13"/>
      <c r="G34" s="14">
        <f>1.06*F30/1000</f>
        <v>56.086895223109707</v>
      </c>
    </row>
    <row r="35" spans="4:7">
      <c r="D35" s="19" t="s">
        <v>20</v>
      </c>
      <c r="E35" s="13"/>
      <c r="F35" s="13"/>
      <c r="G35" s="14">
        <f>0.81*F30/1000</f>
        <v>42.858853896904591</v>
      </c>
    </row>
    <row r="36" spans="4:7">
      <c r="D36" s="19" t="s">
        <v>21</v>
      </c>
      <c r="E36" s="13"/>
      <c r="F36" s="13"/>
      <c r="G36" s="14">
        <f>0.19*F30/1000</f>
        <v>10.053311407915892</v>
      </c>
    </row>
    <row r="37" spans="4:7">
      <c r="D37" s="19" t="s">
        <v>22</v>
      </c>
      <c r="E37" s="13"/>
      <c r="F37" s="13"/>
      <c r="G37" s="14">
        <f>0.24*F30/1000+0.17*F30/(2*1000)</f>
        <v>17.196453724066654</v>
      </c>
    </row>
    <row r="38" spans="4:7">
      <c r="D38" s="19" t="s">
        <v>23</v>
      </c>
      <c r="E38" s="13"/>
      <c r="F38" s="13"/>
      <c r="G38" s="14">
        <f>0.35*F30/1000</f>
        <v>18.519257856687162</v>
      </c>
    </row>
    <row r="39" spans="4:7">
      <c r="D39" s="19" t="s">
        <v>24</v>
      </c>
      <c r="E39" s="13"/>
      <c r="F39" s="13"/>
      <c r="G39" s="14">
        <f>0.03*F30/1000+0.03*F30/(2*1000)</f>
        <v>2.3810474387169211</v>
      </c>
    </row>
    <row r="40" spans="4:7">
      <c r="D40" s="12" t="s">
        <v>25</v>
      </c>
      <c r="E40" s="13">
        <v>19.3</v>
      </c>
      <c r="F40" s="13"/>
      <c r="G40" s="14">
        <f>E40*E25/1000</f>
        <v>380.91239144981586</v>
      </c>
    </row>
    <row r="41" spans="4:7">
      <c r="D41" s="12"/>
      <c r="E41" s="13"/>
      <c r="F41" s="13"/>
      <c r="G41" s="14"/>
    </row>
    <row r="42" spans="4:7">
      <c r="D42" s="15" t="s">
        <v>27</v>
      </c>
      <c r="E42" s="13">
        <f>0.121*E2</f>
        <v>6652.0991478095048</v>
      </c>
      <c r="F42" s="13"/>
      <c r="G42" s="14"/>
    </row>
    <row r="43" spans="4:7">
      <c r="D43" s="16" t="s">
        <v>7</v>
      </c>
      <c r="E43" s="13"/>
      <c r="F43" s="13"/>
      <c r="G43" s="17">
        <f>SUM(G44:G47)</f>
        <v>756.62638731972254</v>
      </c>
    </row>
    <row r="44" spans="4:7">
      <c r="D44" s="12" t="s">
        <v>8</v>
      </c>
      <c r="E44" s="13">
        <v>3</v>
      </c>
      <c r="F44" s="13">
        <f>E44*E42</f>
        <v>19956.297443428513</v>
      </c>
      <c r="G44" s="14">
        <f>30*F44/1000</f>
        <v>598.6889233028553</v>
      </c>
    </row>
    <row r="45" spans="4:7">
      <c r="D45" s="12" t="s">
        <v>9</v>
      </c>
      <c r="E45" s="13">
        <v>0.76500000000000001</v>
      </c>
      <c r="F45" s="13">
        <f>E45*E42</f>
        <v>5088.8558480742713</v>
      </c>
      <c r="G45" s="14">
        <f>20*F45/1000</f>
        <v>101.77711696148543</v>
      </c>
    </row>
    <row r="46" spans="4:7">
      <c r="D46" s="12" t="s">
        <v>10</v>
      </c>
      <c r="E46" s="13">
        <v>0.248</v>
      </c>
      <c r="F46" s="13">
        <f>E46*E42</f>
        <v>1649.7205886567572</v>
      </c>
      <c r="G46" s="14">
        <f>25*F46/1000</f>
        <v>41.243014716418926</v>
      </c>
    </row>
    <row r="47" spans="4:7">
      <c r="D47" s="12" t="s">
        <v>11</v>
      </c>
      <c r="E47" s="13">
        <v>0.115</v>
      </c>
      <c r="F47" s="13">
        <f>E47*E42</f>
        <v>764.99140199809312</v>
      </c>
      <c r="G47" s="14">
        <f>19.5*F47/1000</f>
        <v>14.917332338962817</v>
      </c>
    </row>
    <row r="48" spans="4:7">
      <c r="D48" s="16" t="s">
        <v>12</v>
      </c>
      <c r="E48" s="13"/>
      <c r="F48" s="13"/>
      <c r="G48" s="17">
        <f>SUM(G49:G49)</f>
        <v>453.67316188060823</v>
      </c>
    </row>
    <row r="49" spans="4:7">
      <c r="D49" s="12" t="s">
        <v>25</v>
      </c>
      <c r="E49" s="13">
        <v>68.2</v>
      </c>
      <c r="F49" s="13"/>
      <c r="G49" s="14">
        <f>E49*E42/1000</f>
        <v>453.67316188060823</v>
      </c>
    </row>
    <row r="50" spans="4:7">
      <c r="D50" s="12"/>
      <c r="E50" s="13"/>
      <c r="F50" s="13"/>
      <c r="G50" s="14"/>
    </row>
    <row r="51" spans="4:7">
      <c r="D51" s="15" t="s">
        <v>28</v>
      </c>
      <c r="E51" s="13"/>
      <c r="F51" s="13"/>
      <c r="G51" s="14"/>
    </row>
    <row r="52" spans="4:7">
      <c r="D52" s="16" t="s">
        <v>7</v>
      </c>
      <c r="E52" s="13"/>
      <c r="F52" s="13"/>
      <c r="G52" s="14"/>
    </row>
    <row r="53" spans="4:7">
      <c r="D53" s="12" t="s">
        <v>8</v>
      </c>
      <c r="E53" s="13"/>
      <c r="F53" s="13"/>
      <c r="G53" s="14">
        <f>SUM(G6,G44)</f>
        <v>6140.5890075201232</v>
      </c>
    </row>
    <row r="54" spans="4:7">
      <c r="D54" s="12" t="s">
        <v>9</v>
      </c>
      <c r="E54" s="13"/>
      <c r="F54" s="13"/>
      <c r="G54" s="14">
        <f>SUM(G7,G45)</f>
        <v>1146.2534409733641</v>
      </c>
    </row>
    <row r="55" spans="4:7">
      <c r="D55" s="12" t="s">
        <v>10</v>
      </c>
      <c r="E55" s="13"/>
      <c r="F55" s="13"/>
      <c r="G55" s="14">
        <f>SUM(G8,G46)</f>
        <v>588.31769599513427</v>
      </c>
    </row>
    <row r="56" spans="4:7">
      <c r="D56" s="12" t="s">
        <v>11</v>
      </c>
      <c r="E56" s="13"/>
      <c r="F56" s="13"/>
      <c r="G56" s="14">
        <f>SUM(G9,G47)</f>
        <v>122.25137103401384</v>
      </c>
    </row>
    <row r="57" spans="4:7">
      <c r="D57" s="12" t="s">
        <v>13</v>
      </c>
      <c r="E57" s="13"/>
      <c r="F57" s="13"/>
      <c r="G57" s="14">
        <f>SUM(G27)</f>
        <v>456.11722979064285</v>
      </c>
    </row>
    <row r="58" spans="4:7">
      <c r="D58" s="12" t="s">
        <v>59</v>
      </c>
      <c r="E58" s="13">
        <v>0.46400000000000002</v>
      </c>
      <c r="F58" s="13">
        <f>E58*(E4+E25+E42)</f>
        <v>33008.485635794976</v>
      </c>
      <c r="G58" s="14">
        <f>5*F58/1000</f>
        <v>165.04242817897489</v>
      </c>
    </row>
    <row r="59" spans="4:7">
      <c r="D59" s="16" t="s">
        <v>12</v>
      </c>
      <c r="E59" s="13"/>
      <c r="F59" s="13"/>
      <c r="G59" s="14"/>
    </row>
    <row r="60" spans="4:7">
      <c r="D60" s="12" t="s">
        <v>13</v>
      </c>
      <c r="E60" s="13"/>
      <c r="F60" s="13"/>
      <c r="G60" s="14">
        <f>SUM(G11)</f>
        <v>513.42509165012007</v>
      </c>
    </row>
    <row r="61" spans="4:7">
      <c r="D61" s="19" t="s">
        <v>16</v>
      </c>
      <c r="E61" s="13"/>
      <c r="F61" s="13"/>
      <c r="G61" s="14">
        <f>SUM(G14,G31)</f>
        <v>192.36174345068235</v>
      </c>
    </row>
    <row r="62" spans="4:7">
      <c r="D62" s="19" t="s">
        <v>17</v>
      </c>
      <c r="E62" s="13"/>
      <c r="F62" s="13"/>
      <c r="G62" s="14">
        <f>SUM(G15,G32)</f>
        <v>1.3296894708572511</v>
      </c>
    </row>
    <row r="63" spans="4:7">
      <c r="D63" s="19" t="s">
        <v>18</v>
      </c>
      <c r="E63" s="13"/>
      <c r="F63" s="13"/>
      <c r="G63" s="14">
        <f>SUM(G16,G33)</f>
        <v>7.5349070015244237</v>
      </c>
    </row>
    <row r="64" spans="4:7">
      <c r="D64" s="19" t="s">
        <v>19</v>
      </c>
      <c r="E64" s="13"/>
      <c r="F64" s="13"/>
      <c r="G64" s="14">
        <f>SUM(G17,G34)</f>
        <v>93.964722607245761</v>
      </c>
    </row>
    <row r="65" spans="4:7">
      <c r="D65" s="19" t="s">
        <v>20</v>
      </c>
      <c r="E65" s="13"/>
      <c r="F65" s="13"/>
      <c r="G65" s="14">
        <f>SUM(G18,G35)</f>
        <v>71.803231426291575</v>
      </c>
    </row>
    <row r="66" spans="4:7">
      <c r="D66" s="19" t="s">
        <v>21</v>
      </c>
      <c r="E66" s="13"/>
      <c r="F66" s="13"/>
      <c r="G66" s="14">
        <f>SUM(G36,G19)</f>
        <v>16.842733297525186</v>
      </c>
    </row>
    <row r="67" spans="4:7">
      <c r="D67" s="19" t="s">
        <v>22</v>
      </c>
      <c r="E67" s="13"/>
      <c r="F67" s="13"/>
      <c r="G67" s="14">
        <f>SUM(G37,G20)</f>
        <v>28.809938535240441</v>
      </c>
    </row>
    <row r="68" spans="4:7">
      <c r="D68" s="19" t="s">
        <v>23</v>
      </c>
      <c r="E68" s="13"/>
      <c r="F68" s="13"/>
      <c r="G68" s="14">
        <f>SUM(G21,G38)</f>
        <v>31.026087653335857</v>
      </c>
    </row>
    <row r="69" spans="4:7">
      <c r="D69" s="19" t="s">
        <v>24</v>
      </c>
      <c r="E69" s="13"/>
      <c r="F69" s="13"/>
      <c r="G69" s="14">
        <f>SUM(G39,G22)</f>
        <v>3.9890684125717533</v>
      </c>
    </row>
    <row r="70" spans="4:7">
      <c r="D70" s="22" t="s">
        <v>25</v>
      </c>
      <c r="E70" s="23"/>
      <c r="F70" s="23"/>
      <c r="G70" s="24">
        <f>SUM(G23,G40,G49)</f>
        <v>5900.3404752732113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5F399F-D1F9-9E4A-9E49-5AC5CC26977D}">
  <dimension ref="A1:H17"/>
  <sheetViews>
    <sheetView workbookViewId="0">
      <selection activeCell="C7" sqref="C7"/>
    </sheetView>
  </sheetViews>
  <sheetFormatPr baseColWidth="10" defaultRowHeight="16"/>
  <sheetData>
    <row r="1" spans="1:8" s="25" customFormat="1">
      <c r="A1" s="25" t="s">
        <v>29</v>
      </c>
      <c r="B1" s="25" t="s">
        <v>30</v>
      </c>
      <c r="C1" s="25" t="s">
        <v>31</v>
      </c>
      <c r="D1" s="25" t="s">
        <v>32</v>
      </c>
      <c r="E1" s="25" t="s">
        <v>33</v>
      </c>
      <c r="F1" s="25" t="s">
        <v>34</v>
      </c>
      <c r="G1" s="25" t="s">
        <v>35</v>
      </c>
      <c r="H1" s="25" t="s">
        <v>36</v>
      </c>
    </row>
    <row r="2" spans="1:8">
      <c r="A2">
        <v>1</v>
      </c>
      <c r="B2" t="s">
        <v>8</v>
      </c>
      <c r="C2">
        <v>1</v>
      </c>
    </row>
    <row r="3" spans="1:8">
      <c r="A3">
        <v>1</v>
      </c>
      <c r="B3" t="s">
        <v>9</v>
      </c>
      <c r="C3">
        <v>1</v>
      </c>
    </row>
    <row r="4" spans="1:8">
      <c r="A4">
        <v>1</v>
      </c>
      <c r="B4" t="s">
        <v>10</v>
      </c>
      <c r="C4">
        <v>1</v>
      </c>
    </row>
    <row r="5" spans="1:8">
      <c r="A5">
        <v>1</v>
      </c>
      <c r="B5" t="s">
        <v>11</v>
      </c>
      <c r="C5">
        <v>1</v>
      </c>
    </row>
    <row r="6" spans="1:8">
      <c r="A6">
        <v>1</v>
      </c>
      <c r="B6" t="s">
        <v>13</v>
      </c>
      <c r="C6">
        <v>1</v>
      </c>
    </row>
    <row r="7" spans="1:8">
      <c r="A7">
        <v>1</v>
      </c>
      <c r="B7" t="s">
        <v>59</v>
      </c>
      <c r="C7">
        <v>1</v>
      </c>
    </row>
    <row r="8" spans="1:8">
      <c r="A8">
        <v>1</v>
      </c>
      <c r="B8" t="s">
        <v>16</v>
      </c>
      <c r="C8">
        <v>1</v>
      </c>
    </row>
    <row r="9" spans="1:8">
      <c r="A9">
        <v>1</v>
      </c>
      <c r="B9" t="s">
        <v>17</v>
      </c>
      <c r="C9">
        <v>1</v>
      </c>
    </row>
    <row r="10" spans="1:8">
      <c r="A10">
        <v>1</v>
      </c>
      <c r="B10" t="s">
        <v>18</v>
      </c>
      <c r="C10">
        <v>1</v>
      </c>
    </row>
    <row r="11" spans="1:8">
      <c r="A11">
        <v>1</v>
      </c>
      <c r="B11" t="s">
        <v>19</v>
      </c>
      <c r="C11">
        <v>1</v>
      </c>
    </row>
    <row r="12" spans="1:8">
      <c r="A12">
        <v>1</v>
      </c>
      <c r="B12" t="s">
        <v>20</v>
      </c>
      <c r="C12">
        <v>1</v>
      </c>
    </row>
    <row r="13" spans="1:8">
      <c r="A13">
        <v>1</v>
      </c>
      <c r="B13" t="s">
        <v>21</v>
      </c>
      <c r="C13">
        <v>1</v>
      </c>
    </row>
    <row r="14" spans="1:8">
      <c r="A14">
        <v>1</v>
      </c>
      <c r="B14" t="s">
        <v>22</v>
      </c>
      <c r="C14">
        <v>1</v>
      </c>
    </row>
    <row r="15" spans="1:8">
      <c r="A15">
        <v>1</v>
      </c>
      <c r="B15" t="s">
        <v>23</v>
      </c>
      <c r="C15">
        <v>1</v>
      </c>
    </row>
    <row r="16" spans="1:8">
      <c r="A16">
        <v>1</v>
      </c>
      <c r="B16" t="s">
        <v>24</v>
      </c>
      <c r="C16">
        <v>1</v>
      </c>
    </row>
    <row r="17" spans="1:3">
      <c r="A17">
        <v>1</v>
      </c>
      <c r="B17" t="s">
        <v>25</v>
      </c>
      <c r="C17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9BF2FB-DD27-1041-BB35-79BF3A961697}">
  <dimension ref="A1:H7"/>
  <sheetViews>
    <sheetView workbookViewId="0">
      <selection activeCell="B8" sqref="B8"/>
    </sheetView>
  </sheetViews>
  <sheetFormatPr baseColWidth="10" defaultRowHeight="16"/>
  <sheetData>
    <row r="1" spans="1:8" s="25" customFormat="1">
      <c r="A1" s="25" t="s">
        <v>29</v>
      </c>
      <c r="B1" s="25" t="s">
        <v>37</v>
      </c>
      <c r="C1" s="25" t="s">
        <v>31</v>
      </c>
      <c r="D1" s="25" t="s">
        <v>32</v>
      </c>
      <c r="E1" s="25" t="s">
        <v>38</v>
      </c>
      <c r="F1" s="25" t="s">
        <v>34</v>
      </c>
      <c r="G1" s="25" t="s">
        <v>35</v>
      </c>
      <c r="H1" s="25" t="s">
        <v>36</v>
      </c>
    </row>
    <row r="2" spans="1:8">
      <c r="A2">
        <v>1</v>
      </c>
      <c r="B2" t="s">
        <v>7</v>
      </c>
    </row>
    <row r="3" spans="1:8">
      <c r="A3">
        <v>1</v>
      </c>
      <c r="B3" t="s">
        <v>12</v>
      </c>
    </row>
    <row r="4" spans="1:8">
      <c r="A4">
        <v>1</v>
      </c>
      <c r="B4" t="s">
        <v>56</v>
      </c>
    </row>
    <row r="5" spans="1:8">
      <c r="A5">
        <v>1</v>
      </c>
      <c r="B5" t="s">
        <v>58</v>
      </c>
    </row>
    <row r="6" spans="1:8">
      <c r="A6">
        <v>1</v>
      </c>
      <c r="B6" t="s">
        <v>57</v>
      </c>
    </row>
    <row r="7" spans="1:8">
      <c r="A7">
        <v>1</v>
      </c>
      <c r="B7" t="s">
        <v>60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6C45BD-5D21-664F-988F-DE074CA6F1B6}">
  <dimension ref="B2:H37"/>
  <sheetViews>
    <sheetView tabSelected="1" workbookViewId="0">
      <selection activeCell="F18" sqref="F18"/>
    </sheetView>
  </sheetViews>
  <sheetFormatPr baseColWidth="10" defaultRowHeight="16"/>
  <sheetData>
    <row r="2" spans="2:8">
      <c r="C2" t="s">
        <v>7</v>
      </c>
      <c r="D2" t="s">
        <v>12</v>
      </c>
      <c r="E2" t="s">
        <v>56</v>
      </c>
      <c r="F2" t="s">
        <v>58</v>
      </c>
      <c r="G2" t="s">
        <v>57</v>
      </c>
      <c r="H2" t="s">
        <v>60</v>
      </c>
    </row>
    <row r="3" spans="2:8">
      <c r="B3" t="s">
        <v>8</v>
      </c>
      <c r="C3" s="35">
        <v>1</v>
      </c>
    </row>
    <row r="4" spans="2:8">
      <c r="B4" t="s">
        <v>9</v>
      </c>
      <c r="C4" s="35">
        <v>1</v>
      </c>
    </row>
    <row r="5" spans="2:8">
      <c r="B5" t="s">
        <v>10</v>
      </c>
      <c r="C5" s="35">
        <v>1</v>
      </c>
    </row>
    <row r="6" spans="2:8">
      <c r="B6" t="s">
        <v>11</v>
      </c>
      <c r="C6" s="35">
        <v>1</v>
      </c>
    </row>
    <row r="7" spans="2:8">
      <c r="B7" t="s">
        <v>13</v>
      </c>
      <c r="C7" s="36"/>
      <c r="E7" s="34">
        <v>1</v>
      </c>
    </row>
    <row r="8" spans="2:8">
      <c r="B8" t="s">
        <v>59</v>
      </c>
      <c r="C8" s="35">
        <v>1</v>
      </c>
      <c r="E8" s="37"/>
    </row>
    <row r="9" spans="2:8">
      <c r="B9" t="s">
        <v>16</v>
      </c>
      <c r="E9" s="34">
        <v>1</v>
      </c>
      <c r="F9" s="34">
        <v>1</v>
      </c>
      <c r="G9" s="37"/>
    </row>
    <row r="10" spans="2:8">
      <c r="B10" t="s">
        <v>17</v>
      </c>
      <c r="E10" s="34">
        <v>1</v>
      </c>
      <c r="F10" s="34">
        <v>1</v>
      </c>
      <c r="G10" s="37"/>
    </row>
    <row r="11" spans="2:8">
      <c r="B11" t="s">
        <v>18</v>
      </c>
      <c r="E11" s="34">
        <v>1</v>
      </c>
      <c r="F11" s="34">
        <v>1</v>
      </c>
      <c r="G11" s="37"/>
    </row>
    <row r="12" spans="2:8">
      <c r="B12" t="s">
        <v>19</v>
      </c>
      <c r="E12" s="34">
        <v>1</v>
      </c>
      <c r="F12" s="34">
        <v>1</v>
      </c>
      <c r="G12" s="37"/>
    </row>
    <row r="13" spans="2:8">
      <c r="B13" t="s">
        <v>20</v>
      </c>
      <c r="E13" s="34">
        <v>1</v>
      </c>
      <c r="F13" s="34">
        <v>1</v>
      </c>
      <c r="G13" s="37"/>
    </row>
    <row r="14" spans="2:8">
      <c r="B14" t="s">
        <v>21</v>
      </c>
      <c r="E14" s="34">
        <v>1</v>
      </c>
      <c r="F14" s="34">
        <v>1</v>
      </c>
      <c r="G14" s="37"/>
    </row>
    <row r="15" spans="2:8">
      <c r="B15" t="s">
        <v>22</v>
      </c>
      <c r="E15" s="34">
        <v>1</v>
      </c>
      <c r="F15" s="34">
        <v>1</v>
      </c>
      <c r="G15" s="37"/>
    </row>
    <row r="16" spans="2:8">
      <c r="B16" t="s">
        <v>23</v>
      </c>
      <c r="E16" s="34">
        <v>1</v>
      </c>
      <c r="F16" s="34">
        <v>1</v>
      </c>
      <c r="G16" s="37"/>
    </row>
    <row r="17" spans="2:8">
      <c r="B17" t="s">
        <v>24</v>
      </c>
      <c r="E17" s="34">
        <v>1</v>
      </c>
      <c r="F17" s="34">
        <v>1</v>
      </c>
      <c r="G17" s="37"/>
    </row>
    <row r="18" spans="2:8">
      <c r="B18" t="s">
        <v>25</v>
      </c>
      <c r="E18" s="34">
        <v>1</v>
      </c>
      <c r="F18" s="34">
        <v>1</v>
      </c>
      <c r="G18" s="34">
        <v>1</v>
      </c>
    </row>
    <row r="21" spans="2:8">
      <c r="C21" t="s">
        <v>7</v>
      </c>
      <c r="D21" t="s">
        <v>12</v>
      </c>
      <c r="E21" t="s">
        <v>56</v>
      </c>
      <c r="F21" t="s">
        <v>58</v>
      </c>
      <c r="G21" t="s">
        <v>57</v>
      </c>
      <c r="H21" t="s">
        <v>60</v>
      </c>
    </row>
    <row r="22" spans="2:8">
      <c r="B22" t="s">
        <v>8</v>
      </c>
      <c r="E22" s="34">
        <v>1</v>
      </c>
      <c r="F22" s="37"/>
      <c r="G22" s="34">
        <v>1</v>
      </c>
    </row>
    <row r="23" spans="2:8">
      <c r="B23" t="s">
        <v>9</v>
      </c>
      <c r="E23" s="34">
        <v>1</v>
      </c>
      <c r="F23" s="37"/>
      <c r="G23" s="34">
        <v>1</v>
      </c>
    </row>
    <row r="24" spans="2:8">
      <c r="B24" t="s">
        <v>10</v>
      </c>
      <c r="E24" s="34">
        <v>1</v>
      </c>
      <c r="F24" s="37"/>
      <c r="G24" s="34">
        <v>1</v>
      </c>
    </row>
    <row r="25" spans="2:8">
      <c r="B25" t="s">
        <v>11</v>
      </c>
      <c r="E25" s="34">
        <v>1</v>
      </c>
      <c r="F25" s="37"/>
      <c r="G25" s="34">
        <v>1</v>
      </c>
    </row>
    <row r="26" spans="2:8">
      <c r="B26" t="s">
        <v>13</v>
      </c>
      <c r="D26" s="34">
        <v>1</v>
      </c>
      <c r="F26" s="34">
        <v>1</v>
      </c>
    </row>
    <row r="27" spans="2:8">
      <c r="B27" t="s">
        <v>59</v>
      </c>
      <c r="D27" s="37"/>
      <c r="E27" s="37"/>
      <c r="F27" s="37"/>
      <c r="G27" s="37"/>
      <c r="H27" s="34">
        <v>1</v>
      </c>
    </row>
    <row r="28" spans="2:8">
      <c r="B28" t="s">
        <v>16</v>
      </c>
      <c r="D28" s="34">
        <v>1</v>
      </c>
    </row>
    <row r="29" spans="2:8">
      <c r="B29" t="s">
        <v>17</v>
      </c>
      <c r="D29" s="34">
        <v>1</v>
      </c>
    </row>
    <row r="30" spans="2:8">
      <c r="B30" t="s">
        <v>18</v>
      </c>
      <c r="D30" s="34">
        <v>1</v>
      </c>
    </row>
    <row r="31" spans="2:8">
      <c r="B31" t="s">
        <v>19</v>
      </c>
      <c r="D31" s="34">
        <v>1</v>
      </c>
    </row>
    <row r="32" spans="2:8">
      <c r="B32" t="s">
        <v>20</v>
      </c>
      <c r="D32" s="34">
        <v>1</v>
      </c>
    </row>
    <row r="33" spans="2:4">
      <c r="B33" t="s">
        <v>21</v>
      </c>
      <c r="D33" s="34">
        <v>1</v>
      </c>
    </row>
    <row r="34" spans="2:4">
      <c r="B34" t="s">
        <v>22</v>
      </c>
      <c r="D34" s="34">
        <v>1</v>
      </c>
    </row>
    <row r="35" spans="2:4">
      <c r="B35" t="s">
        <v>23</v>
      </c>
      <c r="D35" s="34">
        <v>1</v>
      </c>
    </row>
    <row r="36" spans="2:4">
      <c r="B36" t="s">
        <v>24</v>
      </c>
      <c r="D36" s="34">
        <v>1</v>
      </c>
    </row>
    <row r="37" spans="2:4">
      <c r="B37" t="s">
        <v>25</v>
      </c>
      <c r="D37" s="34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B3240-D419-5742-96C5-1732B1AD30E4}">
  <dimension ref="A1:H33"/>
  <sheetViews>
    <sheetView workbookViewId="0">
      <selection activeCell="F33" sqref="F33"/>
    </sheetView>
  </sheetViews>
  <sheetFormatPr baseColWidth="10" defaultRowHeight="16"/>
  <sheetData>
    <row r="1" spans="1:8">
      <c r="A1" t="s">
        <v>39</v>
      </c>
      <c r="B1" t="s">
        <v>40</v>
      </c>
      <c r="C1" t="s">
        <v>41</v>
      </c>
      <c r="D1" t="s">
        <v>42</v>
      </c>
      <c r="E1" t="s">
        <v>43</v>
      </c>
      <c r="F1" s="26" t="s">
        <v>44</v>
      </c>
      <c r="G1" s="27" t="s">
        <v>45</v>
      </c>
      <c r="H1" s="27" t="s">
        <v>46</v>
      </c>
    </row>
    <row r="2" spans="1:8">
      <c r="C2" t="s">
        <v>47</v>
      </c>
      <c r="D2" t="s">
        <v>56</v>
      </c>
      <c r="E2" t="s">
        <v>13</v>
      </c>
      <c r="F2">
        <v>513.42509165012007</v>
      </c>
      <c r="G2" s="38">
        <v>0.1</v>
      </c>
    </row>
    <row r="3" spans="1:8">
      <c r="C3" t="s">
        <v>47</v>
      </c>
      <c r="D3" t="s">
        <v>56</v>
      </c>
      <c r="E3" t="s">
        <v>16</v>
      </c>
      <c r="F3">
        <v>77.542344739221917</v>
      </c>
      <c r="G3" s="27">
        <v>0.1</v>
      </c>
    </row>
    <row r="4" spans="1:8">
      <c r="C4" t="s">
        <v>47</v>
      </c>
      <c r="D4" t="s">
        <v>56</v>
      </c>
      <c r="E4" t="s">
        <v>17</v>
      </c>
      <c r="F4">
        <v>0.53600699128494411</v>
      </c>
      <c r="G4" s="27">
        <v>0.1</v>
      </c>
    </row>
    <row r="5" spans="1:8">
      <c r="C5" t="s">
        <v>47</v>
      </c>
      <c r="D5" t="s">
        <v>56</v>
      </c>
      <c r="E5" t="s">
        <v>18</v>
      </c>
      <c r="F5">
        <v>3.0373729506146838</v>
      </c>
      <c r="G5" s="27">
        <v>0.1</v>
      </c>
    </row>
    <row r="6" spans="1:8">
      <c r="C6" t="s">
        <v>47</v>
      </c>
      <c r="D6" t="s">
        <v>56</v>
      </c>
      <c r="E6" t="s">
        <v>19</v>
      </c>
      <c r="F6">
        <v>37.877827384136054</v>
      </c>
      <c r="G6" s="27">
        <v>0.1</v>
      </c>
    </row>
    <row r="7" spans="1:8">
      <c r="C7" t="s">
        <v>47</v>
      </c>
      <c r="D7" t="s">
        <v>56</v>
      </c>
      <c r="E7" t="s">
        <v>20</v>
      </c>
      <c r="F7">
        <v>28.944377529386987</v>
      </c>
      <c r="G7" s="27">
        <v>0.1</v>
      </c>
    </row>
    <row r="8" spans="1:8">
      <c r="C8" t="s">
        <v>47</v>
      </c>
      <c r="D8" t="s">
        <v>56</v>
      </c>
      <c r="E8" t="s">
        <v>21</v>
      </c>
      <c r="F8">
        <v>6.7894218896092928</v>
      </c>
      <c r="G8" s="27">
        <v>0.1</v>
      </c>
    </row>
    <row r="9" spans="1:8">
      <c r="C9" t="s">
        <v>47</v>
      </c>
      <c r="D9" t="s">
        <v>56</v>
      </c>
      <c r="E9" t="s">
        <v>22</v>
      </c>
      <c r="F9">
        <v>11.613484811173789</v>
      </c>
      <c r="G9" s="27">
        <v>0.1</v>
      </c>
    </row>
    <row r="10" spans="1:8">
      <c r="C10" t="s">
        <v>47</v>
      </c>
      <c r="D10" t="s">
        <v>56</v>
      </c>
      <c r="E10" t="s">
        <v>23</v>
      </c>
      <c r="F10">
        <v>12.506829796648697</v>
      </c>
      <c r="G10" s="27">
        <v>0.1</v>
      </c>
    </row>
    <row r="11" spans="1:8">
      <c r="C11" t="s">
        <v>47</v>
      </c>
      <c r="D11" t="s">
        <v>56</v>
      </c>
      <c r="E11" t="s">
        <v>24</v>
      </c>
      <c r="F11">
        <v>1.6080209738548323</v>
      </c>
      <c r="G11" s="27">
        <v>0.1</v>
      </c>
    </row>
    <row r="12" spans="1:8">
      <c r="C12" t="s">
        <v>47</v>
      </c>
      <c r="D12" t="s">
        <v>56</v>
      </c>
      <c r="E12" t="s">
        <v>25</v>
      </c>
      <c r="F12">
        <v>5065.7549219427874</v>
      </c>
      <c r="G12" s="27">
        <v>0.1</v>
      </c>
    </row>
    <row r="13" spans="1:8">
      <c r="C13" t="s">
        <v>47</v>
      </c>
      <c r="D13" t="s">
        <v>58</v>
      </c>
      <c r="E13" t="s">
        <v>16</v>
      </c>
      <c r="F13">
        <v>114.81939871146042</v>
      </c>
      <c r="G13" s="27">
        <v>0.1</v>
      </c>
    </row>
    <row r="14" spans="1:8">
      <c r="C14" t="s">
        <v>47</v>
      </c>
      <c r="D14" t="s">
        <v>58</v>
      </c>
      <c r="E14" t="s">
        <v>17</v>
      </c>
      <c r="F14">
        <v>0.79368247957230709</v>
      </c>
      <c r="G14" s="27">
        <v>0.1</v>
      </c>
    </row>
    <row r="15" spans="1:8">
      <c r="C15" t="s">
        <v>47</v>
      </c>
      <c r="D15" t="s">
        <v>58</v>
      </c>
      <c r="E15" t="s">
        <v>18</v>
      </c>
      <c r="F15">
        <v>4.4975340509097403</v>
      </c>
      <c r="G15" s="27">
        <v>0.1</v>
      </c>
    </row>
    <row r="16" spans="1:8">
      <c r="C16" t="s">
        <v>47</v>
      </c>
      <c r="D16" t="s">
        <v>58</v>
      </c>
      <c r="E16" t="s">
        <v>19</v>
      </c>
      <c r="F16">
        <v>56.086895223109707</v>
      </c>
      <c r="G16" s="27">
        <v>0.1</v>
      </c>
    </row>
    <row r="17" spans="3:7">
      <c r="C17" t="s">
        <v>47</v>
      </c>
      <c r="D17" t="s">
        <v>58</v>
      </c>
      <c r="E17" t="s">
        <v>20</v>
      </c>
      <c r="F17">
        <v>42.858853896904591</v>
      </c>
      <c r="G17" s="27">
        <v>0.1</v>
      </c>
    </row>
    <row r="18" spans="3:7">
      <c r="C18" t="s">
        <v>47</v>
      </c>
      <c r="D18" t="s">
        <v>58</v>
      </c>
      <c r="E18" t="s">
        <v>21</v>
      </c>
      <c r="F18">
        <v>10.053311407915892</v>
      </c>
      <c r="G18" s="27">
        <v>0.1</v>
      </c>
    </row>
    <row r="19" spans="3:7">
      <c r="C19" t="s">
        <v>47</v>
      </c>
      <c r="D19" t="s">
        <v>58</v>
      </c>
      <c r="E19" t="s">
        <v>22</v>
      </c>
      <c r="F19">
        <v>17.196453724066654</v>
      </c>
      <c r="G19" s="27">
        <v>0.1</v>
      </c>
    </row>
    <row r="20" spans="3:7">
      <c r="C20" t="s">
        <v>47</v>
      </c>
      <c r="D20" t="s">
        <v>58</v>
      </c>
      <c r="E20" t="s">
        <v>23</v>
      </c>
      <c r="F20">
        <v>18.519257856687162</v>
      </c>
      <c r="G20" s="27">
        <v>0.1</v>
      </c>
    </row>
    <row r="21" spans="3:7">
      <c r="C21" t="s">
        <v>47</v>
      </c>
      <c r="D21" t="s">
        <v>58</v>
      </c>
      <c r="E21" t="s">
        <v>24</v>
      </c>
      <c r="F21">
        <v>2.3810474387169211</v>
      </c>
      <c r="G21" s="27">
        <v>0.1</v>
      </c>
    </row>
    <row r="22" spans="3:7">
      <c r="C22" t="s">
        <v>47</v>
      </c>
      <c r="D22" t="s">
        <v>58</v>
      </c>
      <c r="E22" t="s">
        <v>25</v>
      </c>
      <c r="F22">
        <v>380.91239144981586</v>
      </c>
      <c r="G22" s="27">
        <v>0.1</v>
      </c>
    </row>
    <row r="23" spans="3:7">
      <c r="C23" t="s">
        <v>47</v>
      </c>
      <c r="D23" t="s">
        <v>57</v>
      </c>
      <c r="E23" t="s">
        <v>25</v>
      </c>
      <c r="F23">
        <v>453.67316188060823</v>
      </c>
      <c r="G23" s="27">
        <v>0.1</v>
      </c>
    </row>
    <row r="24" spans="3:7">
      <c r="C24" t="s">
        <v>48</v>
      </c>
      <c r="D24" t="s">
        <v>8</v>
      </c>
      <c r="E24" t="s">
        <v>56</v>
      </c>
      <c r="F24">
        <v>5541.9000842172682</v>
      </c>
      <c r="G24" s="27">
        <v>0.1</v>
      </c>
    </row>
    <row r="25" spans="3:7">
      <c r="C25" t="s">
        <v>48</v>
      </c>
      <c r="D25" t="s">
        <v>9</v>
      </c>
      <c r="E25" t="s">
        <v>56</v>
      </c>
      <c r="F25">
        <v>1044.4763240118787</v>
      </c>
      <c r="G25" s="27">
        <v>0.1</v>
      </c>
    </row>
    <row r="26" spans="3:7">
      <c r="C26" t="s">
        <v>48</v>
      </c>
      <c r="D26" t="s">
        <v>10</v>
      </c>
      <c r="E26" t="s">
        <v>56</v>
      </c>
      <c r="F26">
        <v>547.07468127871539</v>
      </c>
      <c r="G26" s="27">
        <v>0.1</v>
      </c>
    </row>
    <row r="27" spans="3:7">
      <c r="C27" t="s">
        <v>48</v>
      </c>
      <c r="D27" t="s">
        <v>11</v>
      </c>
      <c r="E27" t="s">
        <v>56</v>
      </c>
      <c r="F27">
        <v>107.33403869505102</v>
      </c>
      <c r="G27" s="27">
        <v>0.1</v>
      </c>
    </row>
    <row r="28" spans="3:7">
      <c r="C28" t="s">
        <v>48</v>
      </c>
      <c r="D28" t="s">
        <v>13</v>
      </c>
      <c r="E28" t="s">
        <v>58</v>
      </c>
      <c r="F28">
        <v>456.11722979064285</v>
      </c>
      <c r="G28" s="27">
        <v>0.1</v>
      </c>
    </row>
    <row r="29" spans="3:7">
      <c r="C29" t="s">
        <v>48</v>
      </c>
      <c r="D29" t="s">
        <v>8</v>
      </c>
      <c r="E29" t="s">
        <v>57</v>
      </c>
      <c r="F29">
        <v>598.6889233028553</v>
      </c>
      <c r="G29" s="27">
        <v>0.1</v>
      </c>
    </row>
    <row r="30" spans="3:7">
      <c r="C30" t="s">
        <v>48</v>
      </c>
      <c r="D30" t="s">
        <v>9</v>
      </c>
      <c r="E30" t="s">
        <v>57</v>
      </c>
      <c r="F30">
        <v>101.77711696148543</v>
      </c>
      <c r="G30" s="27">
        <v>0.1</v>
      </c>
    </row>
    <row r="31" spans="3:7">
      <c r="C31" t="s">
        <v>48</v>
      </c>
      <c r="D31" t="s">
        <v>10</v>
      </c>
      <c r="E31" t="s">
        <v>57</v>
      </c>
      <c r="F31">
        <v>41.243014716418926</v>
      </c>
      <c r="G31" s="27">
        <v>0.1</v>
      </c>
    </row>
    <row r="32" spans="3:7">
      <c r="C32" t="s">
        <v>48</v>
      </c>
      <c r="D32" t="s">
        <v>11</v>
      </c>
      <c r="E32" t="s">
        <v>57</v>
      </c>
      <c r="F32">
        <v>14.917332338962817</v>
      </c>
      <c r="G32" s="27">
        <v>0.1</v>
      </c>
    </row>
    <row r="33" spans="3:7">
      <c r="C33" t="s">
        <v>48</v>
      </c>
      <c r="D33" t="s">
        <v>59</v>
      </c>
      <c r="E33" t="s">
        <v>60</v>
      </c>
      <c r="F33">
        <v>165.04242817897489</v>
      </c>
      <c r="G33" s="38">
        <v>0.1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5920ED-A3C2-8C47-B71E-1F9FF5F8D951}">
  <dimension ref="A1:R1"/>
  <sheetViews>
    <sheetView workbookViewId="0">
      <selection activeCell="A4" sqref="A4"/>
    </sheetView>
  </sheetViews>
  <sheetFormatPr baseColWidth="10" defaultRowHeight="16"/>
  <sheetData>
    <row r="1" spans="1:18" s="25" customFormat="1">
      <c r="A1" s="25" t="s">
        <v>39</v>
      </c>
      <c r="B1" s="25" t="s">
        <v>40</v>
      </c>
      <c r="C1" s="25" t="s">
        <v>41</v>
      </c>
      <c r="D1" s="25" t="s">
        <v>42</v>
      </c>
      <c r="E1" s="25" t="s">
        <v>43</v>
      </c>
      <c r="F1" s="28" t="s">
        <v>49</v>
      </c>
      <c r="G1" s="28" t="s">
        <v>50</v>
      </c>
      <c r="J1"/>
      <c r="K1"/>
      <c r="L1" s="29"/>
      <c r="M1" s="30"/>
      <c r="N1" s="28"/>
      <c r="O1"/>
      <c r="P1" s="31"/>
      <c r="Q1" s="29"/>
      <c r="R1" s="3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632ECB-68F9-E546-A069-A8D0E96A750D}">
  <dimension ref="A1:I1"/>
  <sheetViews>
    <sheetView workbookViewId="0">
      <selection activeCell="C14" sqref="C14"/>
    </sheetView>
  </sheetViews>
  <sheetFormatPr baseColWidth="10" defaultRowHeight="16"/>
  <sheetData>
    <row r="1" spans="1:9" s="33" customFormat="1">
      <c r="A1" s="32" t="s">
        <v>51</v>
      </c>
      <c r="B1" s="32" t="s">
        <v>39</v>
      </c>
      <c r="C1" s="32" t="s">
        <v>40</v>
      </c>
      <c r="D1" s="33" t="s">
        <v>52</v>
      </c>
      <c r="E1" s="33" t="s">
        <v>42</v>
      </c>
      <c r="F1" s="33" t="s">
        <v>43</v>
      </c>
      <c r="G1" s="33" t="s">
        <v>53</v>
      </c>
      <c r="H1" s="33" t="s">
        <v>54</v>
      </c>
      <c r="I1" s="33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module</vt:lpstr>
      <vt:lpstr>Dim produits</vt:lpstr>
      <vt:lpstr>Dim secteurs</vt:lpstr>
      <vt:lpstr>ter1</vt:lpstr>
      <vt:lpstr>data</vt:lpstr>
      <vt:lpstr>min_max</vt:lpstr>
      <vt:lpstr>other_constraint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2020-07-28T08:22:05Z</dcterms:created>
  <dcterms:modified xsi:type="dcterms:W3CDTF">2020-07-29T13:34:17Z</dcterms:modified>
</cp:coreProperties>
</file>