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628"/>
  <workbookPr codeName="ThisWorkbook" hidePivotFieldList="1" defaultThemeVersion="124226"/>
  <xr:revisionPtr revIDLastSave="0" documentId="8_{C497EDD3-CF8C-45D3-A7FC-C988579ACB00}" xr6:coauthVersionLast="47" xr6:coauthVersionMax="47" xr10:uidLastSave="{00000000-0000-0000-0000-000000000000}"/>
  <bookViews>
    <workbookView xWindow="-15" yWindow="6720" windowWidth="14520" windowHeight="6750" tabRatio="666" firstSheet="1" activeTab="1" xr2:uid="{00000000-000D-0000-FFFF-FFFF00000000}"/>
  </bookViews>
  <sheets>
    <sheet name="Modeling Data (Rev 6)" sheetId="2" state="hidden" r:id="rId1"/>
    <sheet name="Modeling Data" sheetId="17" r:id="rId2"/>
    <sheet name="bEQ Data" sheetId="23" r:id="rId3"/>
    <sheet name="Notes" sheetId="3" r:id="rId4"/>
    <sheet name="Mapping" sheetId="4" state="hidden" r:id="rId5"/>
    <sheet name="90.1-2016 PRM" sheetId="20" state="hidden" r:id="rId6"/>
    <sheet name="90.1-2010" sheetId="15" state="hidden" r:id="rId7"/>
    <sheet name="90.1-2007" sheetId="12" state="hidden" r:id="rId8"/>
    <sheet name="90.1-2001" sheetId="13" state="hidden" r:id="rId9"/>
    <sheet name="SSPC-90.1" sheetId="21" state="hidden" r:id="rId10"/>
    <sheet name="CBECS-2003" sheetId="5" state="hidden" r:id="rId11"/>
    <sheet name="CEUS" sheetId="10" state="hidden" r:id="rId12"/>
    <sheet name="ECB-CS" sheetId="11" state="hidden" r:id="rId13"/>
    <sheet name="ACM05" sheetId="9" state="hidden" r:id="rId14"/>
    <sheet name="NREL41956 (not used)" sheetId="16" state="hidden" r:id="rId15"/>
    <sheet name="Process and Plug (not used)" sheetId="8" state="hidden" r:id="rId16"/>
    <sheet name="bEQ" sheetId="18" state="hidden" r:id="rId17"/>
    <sheet name="Pivots" sheetId="19" state="hidden" r:id="rId18"/>
    <sheet name="OtherLists" sheetId="22" r:id="rId19"/>
  </sheets>
  <externalReferences>
    <externalReference r:id="rId20"/>
    <externalReference r:id="rId21"/>
  </externalReferences>
  <definedNames>
    <definedName name="_90_1_2001">'90.1-2001'!$B$2:$C$123</definedName>
    <definedName name="_90_1_2007">'90.1-2007'!$B$2:$C$125</definedName>
    <definedName name="_90_1_2010">'90.1-2010'!$B$2:$D$130</definedName>
    <definedName name="_90_1_2016BM">'90.1-2016 PRM'!$B$2:$D$136</definedName>
    <definedName name="_ACM05">'ACM05'!$D$5:$K$70</definedName>
    <definedName name="_CEUS">CEUS!$A$3:$C$21</definedName>
    <definedName name="_ECB_CS">'ECB-CS'!$B$3:$I$115</definedName>
    <definedName name="_NREL">'NREL41956 (not used)'!$B$3:$L$27</definedName>
    <definedName name="_Plugs">'CBECS-2003'!$A$3:$U$75</definedName>
    <definedName name="_SSPC_90.1">'SSPC-90.1'!$A$2:$H$37</definedName>
    <definedName name="PBA">[1]Assumptions!$A$90:$B$109</definedName>
    <definedName name="PBAandPlus">'CBECS-2003'!$A$3:$P$73</definedName>
    <definedName name="PBAPlus">'[2]Lookup Lists'!$A$2:$B$57</definedName>
    <definedName name="Schedules_List">OtherLists!$A$4:$D$19</definedName>
    <definedName name="SchedulesLookup">OtherLists!$B$4:$D$18</definedName>
    <definedName name="SpaceBySpaceMapping">Mapping!$C$38:$J$144</definedName>
    <definedName name="Table_C25">[1]Assumptions!$A$34:$H$85</definedName>
    <definedName name="temp">'[2]Lookup Lists'!$D$2:$E$25</definedName>
    <definedName name="WholeBldgMapping">Mapping!$B$4:$J$37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41" i="23" l="1"/>
  <c r="O141" i="23"/>
  <c r="N141" i="23"/>
  <c r="E141" i="23"/>
  <c r="B141" i="23"/>
  <c r="A141" i="23"/>
  <c r="P140" i="23"/>
  <c r="O140" i="23"/>
  <c r="N140" i="23"/>
  <c r="E140" i="23"/>
  <c r="B140" i="23"/>
  <c r="A140" i="23"/>
  <c r="P139" i="23"/>
  <c r="O139" i="23"/>
  <c r="N139" i="23"/>
  <c r="E139" i="23"/>
  <c r="B139" i="23"/>
  <c r="A139" i="23"/>
  <c r="P138" i="23"/>
  <c r="O138" i="23"/>
  <c r="N138" i="23"/>
  <c r="E138" i="23"/>
  <c r="B138" i="23"/>
  <c r="A138" i="23"/>
  <c r="P137" i="23"/>
  <c r="O137" i="23"/>
  <c r="N137" i="23"/>
  <c r="E137" i="23"/>
  <c r="B137" i="23"/>
  <c r="A137" i="23"/>
  <c r="P136" i="23"/>
  <c r="O136" i="23"/>
  <c r="N136" i="23"/>
  <c r="E136" i="23"/>
  <c r="B136" i="23"/>
  <c r="A136" i="23"/>
  <c r="P135" i="23"/>
  <c r="O135" i="23"/>
  <c r="N135" i="23"/>
  <c r="E135" i="23"/>
  <c r="B135" i="23"/>
  <c r="A135" i="23"/>
  <c r="P134" i="23"/>
  <c r="O134" i="23"/>
  <c r="N134" i="23"/>
  <c r="E134" i="23"/>
  <c r="B134" i="23"/>
  <c r="A134" i="23"/>
  <c r="P133" i="23"/>
  <c r="O133" i="23"/>
  <c r="N133" i="23"/>
  <c r="E133" i="23"/>
  <c r="B133" i="23"/>
  <c r="A133" i="23"/>
  <c r="P132" i="23"/>
  <c r="O132" i="23"/>
  <c r="N132" i="23"/>
  <c r="E132" i="23"/>
  <c r="B132" i="23"/>
  <c r="A132" i="23"/>
  <c r="P131" i="23"/>
  <c r="O131" i="23"/>
  <c r="N131" i="23"/>
  <c r="E131" i="23"/>
  <c r="B131" i="23"/>
  <c r="A131" i="23"/>
  <c r="P130" i="23"/>
  <c r="O130" i="23"/>
  <c r="N130" i="23"/>
  <c r="E130" i="23"/>
  <c r="B130" i="23"/>
  <c r="A130" i="23"/>
  <c r="P129" i="23"/>
  <c r="O129" i="23"/>
  <c r="N129" i="23"/>
  <c r="E129" i="23"/>
  <c r="B129" i="23"/>
  <c r="A129" i="23"/>
  <c r="P128" i="23"/>
  <c r="O128" i="23"/>
  <c r="N128" i="23"/>
  <c r="E128" i="23"/>
  <c r="B128" i="23"/>
  <c r="A128" i="23"/>
  <c r="P127" i="23"/>
  <c r="O127" i="23"/>
  <c r="N127" i="23"/>
  <c r="E127" i="23"/>
  <c r="B127" i="23"/>
  <c r="A127" i="23"/>
  <c r="P126" i="23"/>
  <c r="O126" i="23"/>
  <c r="N126" i="23"/>
  <c r="E126" i="23"/>
  <c r="B126" i="23"/>
  <c r="A126" i="23"/>
  <c r="P125" i="23"/>
  <c r="O125" i="23"/>
  <c r="N125" i="23"/>
  <c r="E125" i="23"/>
  <c r="B125" i="23"/>
  <c r="A125" i="23"/>
  <c r="P124" i="23"/>
  <c r="O124" i="23"/>
  <c r="N124" i="23"/>
  <c r="E124" i="23"/>
  <c r="B124" i="23"/>
  <c r="A124" i="23"/>
  <c r="P123" i="23"/>
  <c r="O123" i="23"/>
  <c r="N123" i="23"/>
  <c r="E123" i="23"/>
  <c r="B123" i="23"/>
  <c r="A123" i="23"/>
  <c r="P122" i="23"/>
  <c r="O122" i="23"/>
  <c r="N122" i="23"/>
  <c r="E122" i="23"/>
  <c r="B122" i="23"/>
  <c r="A122" i="23"/>
  <c r="P121" i="23"/>
  <c r="O121" i="23"/>
  <c r="N121" i="23"/>
  <c r="E121" i="23"/>
  <c r="B121" i="23"/>
  <c r="A121" i="23"/>
  <c r="P120" i="23"/>
  <c r="O120" i="23"/>
  <c r="N120" i="23"/>
  <c r="E120" i="23"/>
  <c r="B120" i="23"/>
  <c r="A120" i="23"/>
  <c r="P119" i="23"/>
  <c r="O119" i="23"/>
  <c r="N119" i="23"/>
  <c r="E119" i="23"/>
  <c r="B119" i="23"/>
  <c r="A119" i="23"/>
  <c r="P118" i="23"/>
  <c r="O118" i="23"/>
  <c r="N118" i="23"/>
  <c r="E118" i="23"/>
  <c r="B118" i="23"/>
  <c r="A118" i="23"/>
  <c r="P117" i="23"/>
  <c r="O117" i="23"/>
  <c r="N117" i="23"/>
  <c r="E117" i="23"/>
  <c r="B117" i="23"/>
  <c r="A117" i="23"/>
  <c r="P116" i="23"/>
  <c r="O116" i="23"/>
  <c r="N116" i="23"/>
  <c r="E116" i="23"/>
  <c r="B116" i="23"/>
  <c r="A116" i="23"/>
  <c r="P115" i="23"/>
  <c r="O115" i="23"/>
  <c r="N115" i="23"/>
  <c r="E115" i="23"/>
  <c r="B115" i="23"/>
  <c r="A115" i="23"/>
  <c r="P114" i="23"/>
  <c r="O114" i="23"/>
  <c r="N114" i="23"/>
  <c r="E114" i="23"/>
  <c r="B114" i="23"/>
  <c r="A114" i="23"/>
  <c r="P113" i="23"/>
  <c r="O113" i="23"/>
  <c r="N113" i="23"/>
  <c r="E113" i="23"/>
  <c r="B113" i="23"/>
  <c r="A113" i="23"/>
  <c r="P112" i="23"/>
  <c r="O112" i="23"/>
  <c r="N112" i="23"/>
  <c r="E112" i="23"/>
  <c r="B112" i="23"/>
  <c r="A112" i="23"/>
  <c r="P111" i="23"/>
  <c r="O111" i="23"/>
  <c r="N111" i="23"/>
  <c r="E111" i="23"/>
  <c r="B111" i="23"/>
  <c r="A111" i="23"/>
  <c r="P110" i="23"/>
  <c r="O110" i="23"/>
  <c r="N110" i="23"/>
  <c r="E110" i="23"/>
  <c r="B110" i="23"/>
  <c r="A110" i="23"/>
  <c r="P109" i="23"/>
  <c r="O109" i="23"/>
  <c r="N109" i="23"/>
  <c r="E109" i="23"/>
  <c r="B109" i="23"/>
  <c r="A109" i="23"/>
  <c r="P108" i="23"/>
  <c r="O108" i="23"/>
  <c r="N108" i="23"/>
  <c r="E108" i="23"/>
  <c r="B108" i="23"/>
  <c r="A108" i="23"/>
  <c r="P107" i="23"/>
  <c r="O107" i="23"/>
  <c r="N107" i="23"/>
  <c r="E107" i="23"/>
  <c r="B107" i="23"/>
  <c r="A107" i="23"/>
  <c r="P106" i="23"/>
  <c r="O106" i="23"/>
  <c r="N106" i="23"/>
  <c r="E106" i="23"/>
  <c r="B106" i="23"/>
  <c r="A106" i="23"/>
  <c r="P105" i="23"/>
  <c r="O105" i="23"/>
  <c r="N105" i="23"/>
  <c r="E105" i="23"/>
  <c r="B105" i="23"/>
  <c r="A105" i="23"/>
  <c r="P104" i="23"/>
  <c r="O104" i="23"/>
  <c r="N104" i="23"/>
  <c r="E104" i="23"/>
  <c r="B104" i="23"/>
  <c r="A104" i="23"/>
  <c r="P103" i="23"/>
  <c r="O103" i="23"/>
  <c r="N103" i="23"/>
  <c r="E103" i="23"/>
  <c r="B103" i="23"/>
  <c r="A103" i="23"/>
  <c r="P102" i="23"/>
  <c r="O102" i="23"/>
  <c r="N102" i="23"/>
  <c r="E102" i="23"/>
  <c r="B102" i="23"/>
  <c r="A102" i="23"/>
  <c r="P101" i="23"/>
  <c r="O101" i="23"/>
  <c r="N101" i="23"/>
  <c r="E101" i="23"/>
  <c r="B101" i="23"/>
  <c r="A101" i="23"/>
  <c r="P100" i="23"/>
  <c r="O100" i="23"/>
  <c r="N100" i="23"/>
  <c r="E100" i="23"/>
  <c r="B100" i="23"/>
  <c r="A100" i="23"/>
  <c r="P99" i="23"/>
  <c r="O99" i="23"/>
  <c r="N99" i="23"/>
  <c r="E99" i="23"/>
  <c r="B99" i="23"/>
  <c r="A99" i="23"/>
  <c r="P98" i="23"/>
  <c r="O98" i="23"/>
  <c r="N98" i="23"/>
  <c r="E98" i="23"/>
  <c r="B98" i="23"/>
  <c r="A98" i="23"/>
  <c r="P97" i="23"/>
  <c r="O97" i="23"/>
  <c r="N97" i="23"/>
  <c r="E97" i="23"/>
  <c r="B97" i="23"/>
  <c r="A97" i="23"/>
  <c r="P96" i="23"/>
  <c r="O96" i="23"/>
  <c r="N96" i="23"/>
  <c r="E96" i="23"/>
  <c r="B96" i="23"/>
  <c r="A96" i="23"/>
  <c r="P95" i="23"/>
  <c r="O95" i="23"/>
  <c r="N95" i="23"/>
  <c r="E95" i="23"/>
  <c r="B95" i="23"/>
  <c r="A95" i="23"/>
  <c r="P94" i="23"/>
  <c r="O94" i="23"/>
  <c r="N94" i="23"/>
  <c r="E94" i="23"/>
  <c r="B94" i="23"/>
  <c r="A94" i="23"/>
  <c r="P93" i="23"/>
  <c r="O93" i="23"/>
  <c r="N93" i="23"/>
  <c r="E93" i="23"/>
  <c r="B93" i="23"/>
  <c r="A93" i="23"/>
  <c r="P92" i="23"/>
  <c r="O92" i="23"/>
  <c r="N92" i="23"/>
  <c r="E92" i="23"/>
  <c r="B92" i="23"/>
  <c r="A92" i="23"/>
  <c r="P91" i="23"/>
  <c r="O91" i="23"/>
  <c r="N91" i="23"/>
  <c r="E91" i="23"/>
  <c r="B91" i="23"/>
  <c r="A91" i="23"/>
  <c r="P90" i="23"/>
  <c r="O90" i="23"/>
  <c r="N90" i="23"/>
  <c r="E90" i="23"/>
  <c r="B90" i="23"/>
  <c r="A90" i="23"/>
  <c r="P89" i="23"/>
  <c r="O89" i="23"/>
  <c r="N89" i="23"/>
  <c r="E89" i="23"/>
  <c r="B89" i="23"/>
  <c r="A89" i="23"/>
  <c r="P88" i="23"/>
  <c r="O88" i="23"/>
  <c r="N88" i="23"/>
  <c r="E88" i="23"/>
  <c r="B88" i="23"/>
  <c r="A88" i="23"/>
  <c r="P87" i="23"/>
  <c r="O87" i="23"/>
  <c r="N87" i="23"/>
  <c r="E87" i="23"/>
  <c r="B87" i="23"/>
  <c r="A87" i="23"/>
  <c r="P86" i="23"/>
  <c r="O86" i="23"/>
  <c r="N86" i="23"/>
  <c r="E86" i="23"/>
  <c r="B86" i="23"/>
  <c r="A86" i="23"/>
  <c r="P85" i="23"/>
  <c r="O85" i="23"/>
  <c r="N85" i="23"/>
  <c r="E85" i="23"/>
  <c r="B85" i="23"/>
  <c r="A85" i="23"/>
  <c r="P84" i="23"/>
  <c r="O84" i="23"/>
  <c r="N84" i="23"/>
  <c r="E84" i="23"/>
  <c r="B84" i="23"/>
  <c r="A84" i="23"/>
  <c r="P83" i="23"/>
  <c r="O83" i="23"/>
  <c r="N83" i="23"/>
  <c r="E83" i="23"/>
  <c r="B83" i="23"/>
  <c r="A83" i="23"/>
  <c r="P82" i="23"/>
  <c r="O82" i="23"/>
  <c r="N82" i="23"/>
  <c r="E82" i="23"/>
  <c r="B82" i="23"/>
  <c r="A82" i="23"/>
  <c r="P81" i="23"/>
  <c r="O81" i="23"/>
  <c r="N81" i="23"/>
  <c r="E81" i="23"/>
  <c r="B81" i="23"/>
  <c r="A81" i="23"/>
  <c r="P80" i="23"/>
  <c r="O80" i="23"/>
  <c r="N80" i="23"/>
  <c r="E80" i="23"/>
  <c r="B80" i="23"/>
  <c r="A80" i="23"/>
  <c r="P79" i="23"/>
  <c r="O79" i="23"/>
  <c r="N79" i="23"/>
  <c r="E79" i="23"/>
  <c r="B79" i="23"/>
  <c r="A79" i="23"/>
  <c r="P78" i="23"/>
  <c r="O78" i="23"/>
  <c r="N78" i="23"/>
  <c r="E78" i="23"/>
  <c r="B78" i="23"/>
  <c r="A78" i="23"/>
  <c r="P77" i="23"/>
  <c r="O77" i="23"/>
  <c r="N77" i="23"/>
  <c r="E77" i="23"/>
  <c r="B77" i="23"/>
  <c r="A77" i="23"/>
  <c r="P76" i="23"/>
  <c r="O76" i="23"/>
  <c r="N76" i="23"/>
  <c r="E76" i="23"/>
  <c r="B76" i="23"/>
  <c r="A76" i="23"/>
  <c r="P75" i="23"/>
  <c r="O75" i="23"/>
  <c r="N75" i="23"/>
  <c r="E75" i="23"/>
  <c r="B75" i="23"/>
  <c r="A75" i="23"/>
  <c r="P74" i="23"/>
  <c r="O74" i="23"/>
  <c r="N74" i="23"/>
  <c r="E74" i="23"/>
  <c r="B74" i="23"/>
  <c r="A74" i="23"/>
  <c r="P73" i="23"/>
  <c r="O73" i="23"/>
  <c r="N73" i="23"/>
  <c r="E73" i="23"/>
  <c r="B73" i="23"/>
  <c r="A73" i="23"/>
  <c r="P72" i="23"/>
  <c r="O72" i="23"/>
  <c r="N72" i="23"/>
  <c r="E72" i="23"/>
  <c r="B72" i="23"/>
  <c r="A72" i="23"/>
  <c r="P71" i="23"/>
  <c r="O71" i="23"/>
  <c r="N71" i="23"/>
  <c r="E71" i="23"/>
  <c r="B71" i="23"/>
  <c r="A71" i="23"/>
  <c r="P70" i="23"/>
  <c r="O70" i="23"/>
  <c r="N70" i="23"/>
  <c r="E70" i="23"/>
  <c r="B70" i="23"/>
  <c r="A70" i="23"/>
  <c r="P69" i="23"/>
  <c r="O69" i="23"/>
  <c r="N69" i="23"/>
  <c r="E69" i="23"/>
  <c r="B69" i="23"/>
  <c r="A69" i="23"/>
  <c r="P68" i="23"/>
  <c r="O68" i="23"/>
  <c r="N68" i="23"/>
  <c r="E68" i="23"/>
  <c r="B68" i="23"/>
  <c r="A68" i="23"/>
  <c r="P67" i="23"/>
  <c r="O67" i="23"/>
  <c r="N67" i="23"/>
  <c r="E67" i="23"/>
  <c r="B67" i="23"/>
  <c r="A67" i="23"/>
  <c r="P66" i="23"/>
  <c r="O66" i="23"/>
  <c r="N66" i="23"/>
  <c r="E66" i="23"/>
  <c r="B66" i="23"/>
  <c r="A66" i="23"/>
  <c r="P65" i="23"/>
  <c r="O65" i="23"/>
  <c r="N65" i="23"/>
  <c r="E65" i="23"/>
  <c r="B65" i="23"/>
  <c r="A65" i="23"/>
  <c r="P64" i="23"/>
  <c r="O64" i="23"/>
  <c r="N64" i="23"/>
  <c r="E64" i="23"/>
  <c r="B64" i="23"/>
  <c r="A64" i="23"/>
  <c r="P63" i="23"/>
  <c r="O63" i="23"/>
  <c r="N63" i="23"/>
  <c r="E63" i="23"/>
  <c r="B63" i="23"/>
  <c r="A63" i="23"/>
  <c r="P62" i="23"/>
  <c r="O62" i="23"/>
  <c r="N62" i="23"/>
  <c r="E62" i="23"/>
  <c r="B62" i="23"/>
  <c r="A62" i="23"/>
  <c r="P61" i="23"/>
  <c r="O61" i="23"/>
  <c r="N61" i="23"/>
  <c r="E61" i="23"/>
  <c r="B61" i="23"/>
  <c r="A61" i="23"/>
  <c r="P60" i="23"/>
  <c r="O60" i="23"/>
  <c r="N60" i="23"/>
  <c r="E60" i="23"/>
  <c r="B60" i="23"/>
  <c r="A60" i="23"/>
  <c r="P59" i="23"/>
  <c r="O59" i="23"/>
  <c r="N59" i="23"/>
  <c r="E59" i="23"/>
  <c r="B59" i="23"/>
  <c r="A59" i="23"/>
  <c r="P58" i="23"/>
  <c r="O58" i="23"/>
  <c r="N58" i="23"/>
  <c r="E58" i="23"/>
  <c r="B58" i="23"/>
  <c r="A58" i="23"/>
  <c r="P57" i="23"/>
  <c r="O57" i="23"/>
  <c r="N57" i="23"/>
  <c r="E57" i="23"/>
  <c r="B57" i="23"/>
  <c r="A57" i="23"/>
  <c r="P56" i="23"/>
  <c r="O56" i="23"/>
  <c r="N56" i="23"/>
  <c r="E56" i="23"/>
  <c r="B56" i="23"/>
  <c r="A56" i="23"/>
  <c r="P55" i="23"/>
  <c r="O55" i="23"/>
  <c r="N55" i="23"/>
  <c r="E55" i="23"/>
  <c r="B55" i="23"/>
  <c r="A55" i="23"/>
  <c r="P54" i="23"/>
  <c r="O54" i="23"/>
  <c r="N54" i="23"/>
  <c r="E54" i="23"/>
  <c r="B54" i="23"/>
  <c r="A54" i="23"/>
  <c r="P53" i="23"/>
  <c r="O53" i="23"/>
  <c r="N53" i="23"/>
  <c r="E53" i="23"/>
  <c r="B53" i="23"/>
  <c r="A53" i="23"/>
  <c r="P52" i="23"/>
  <c r="O52" i="23"/>
  <c r="N52" i="23"/>
  <c r="E52" i="23"/>
  <c r="B52" i="23"/>
  <c r="A52" i="23"/>
  <c r="P51" i="23"/>
  <c r="O51" i="23"/>
  <c r="N51" i="23"/>
  <c r="E51" i="23"/>
  <c r="B51" i="23"/>
  <c r="A51" i="23"/>
  <c r="P50" i="23"/>
  <c r="O50" i="23"/>
  <c r="N50" i="23"/>
  <c r="E50" i="23"/>
  <c r="B50" i="23"/>
  <c r="A50" i="23"/>
  <c r="P49" i="23"/>
  <c r="O49" i="23"/>
  <c r="N49" i="23"/>
  <c r="E49" i="23"/>
  <c r="B49" i="23"/>
  <c r="A49" i="23"/>
  <c r="P48" i="23"/>
  <c r="O48" i="23"/>
  <c r="N48" i="23"/>
  <c r="E48" i="23"/>
  <c r="B48" i="23"/>
  <c r="A48" i="23"/>
  <c r="P47" i="23"/>
  <c r="O47" i="23"/>
  <c r="N47" i="23"/>
  <c r="E47" i="23"/>
  <c r="B47" i="23"/>
  <c r="A47" i="23"/>
  <c r="P46" i="23"/>
  <c r="O46" i="23"/>
  <c r="N46" i="23"/>
  <c r="E46" i="23"/>
  <c r="B46" i="23"/>
  <c r="A46" i="23"/>
  <c r="P45" i="23"/>
  <c r="O45" i="23"/>
  <c r="N45" i="23"/>
  <c r="E45" i="23"/>
  <c r="B45" i="23"/>
  <c r="A45" i="23"/>
  <c r="P44" i="23"/>
  <c r="O44" i="23"/>
  <c r="N44" i="23"/>
  <c r="E44" i="23"/>
  <c r="B44" i="23"/>
  <c r="A44" i="23"/>
  <c r="P43" i="23"/>
  <c r="O43" i="23"/>
  <c r="N43" i="23"/>
  <c r="E43" i="23"/>
  <c r="B43" i="23"/>
  <c r="A43" i="23"/>
  <c r="P42" i="23"/>
  <c r="O42" i="23"/>
  <c r="N42" i="23"/>
  <c r="E42" i="23"/>
  <c r="B42" i="23"/>
  <c r="A42" i="23"/>
  <c r="P41" i="23"/>
  <c r="O41" i="23"/>
  <c r="N41" i="23"/>
  <c r="E41" i="23"/>
  <c r="B41" i="23"/>
  <c r="A41" i="23"/>
  <c r="P40" i="23"/>
  <c r="O40" i="23"/>
  <c r="N40" i="23"/>
  <c r="E40" i="23"/>
  <c r="B40" i="23"/>
  <c r="A40" i="23"/>
  <c r="P39" i="23"/>
  <c r="O39" i="23"/>
  <c r="N39" i="23"/>
  <c r="E39" i="23"/>
  <c r="B39" i="23"/>
  <c r="A39" i="23"/>
  <c r="Q38" i="23"/>
  <c r="P38" i="23"/>
  <c r="O38" i="23"/>
  <c r="N38" i="23"/>
  <c r="M38" i="23"/>
  <c r="L38" i="23"/>
  <c r="K38" i="23"/>
  <c r="J38" i="23"/>
  <c r="I38" i="23"/>
  <c r="H38" i="23"/>
  <c r="G38" i="23"/>
  <c r="F38" i="23"/>
  <c r="E38" i="23"/>
  <c r="D38" i="23"/>
  <c r="C38" i="23"/>
  <c r="B38" i="23"/>
  <c r="A38" i="23"/>
  <c r="P37" i="23"/>
  <c r="O37" i="23"/>
  <c r="N37" i="23"/>
  <c r="A37" i="23"/>
  <c r="P36" i="23"/>
  <c r="O36" i="23"/>
  <c r="N36" i="23"/>
  <c r="A36" i="23"/>
  <c r="P35" i="23"/>
  <c r="O35" i="23"/>
  <c r="N35" i="23"/>
  <c r="A35" i="23"/>
  <c r="P34" i="23"/>
  <c r="O34" i="23"/>
  <c r="N34" i="23"/>
  <c r="A34" i="23"/>
  <c r="P33" i="23"/>
  <c r="O33" i="23"/>
  <c r="N33" i="23"/>
  <c r="A33" i="23"/>
  <c r="P32" i="23"/>
  <c r="O32" i="23"/>
  <c r="N32" i="23"/>
  <c r="A32" i="23"/>
  <c r="P31" i="23"/>
  <c r="O31" i="23"/>
  <c r="N31" i="23"/>
  <c r="A31" i="23"/>
  <c r="P30" i="23"/>
  <c r="O30" i="23"/>
  <c r="N30" i="23"/>
  <c r="A30" i="23"/>
  <c r="P29" i="23"/>
  <c r="O29" i="23"/>
  <c r="N29" i="23"/>
  <c r="A29" i="23"/>
  <c r="P28" i="23"/>
  <c r="O28" i="23"/>
  <c r="N28" i="23"/>
  <c r="A28" i="23"/>
  <c r="P27" i="23"/>
  <c r="O27" i="23"/>
  <c r="N27" i="23"/>
  <c r="A27" i="23"/>
  <c r="P26" i="23"/>
  <c r="O26" i="23"/>
  <c r="N26" i="23"/>
  <c r="A26" i="23"/>
  <c r="P25" i="23"/>
  <c r="O25" i="23"/>
  <c r="N25" i="23"/>
  <c r="A25" i="23"/>
  <c r="P24" i="23"/>
  <c r="O24" i="23"/>
  <c r="N24" i="23"/>
  <c r="A24" i="23"/>
  <c r="P23" i="23"/>
  <c r="O23" i="23"/>
  <c r="N23" i="23"/>
  <c r="A23" i="23"/>
  <c r="P22" i="23"/>
  <c r="O22" i="23"/>
  <c r="N22" i="23"/>
  <c r="A22" i="23"/>
  <c r="P21" i="23"/>
  <c r="O21" i="23"/>
  <c r="N21" i="23"/>
  <c r="A21" i="23"/>
  <c r="P20" i="23"/>
  <c r="O20" i="23"/>
  <c r="N20" i="23"/>
  <c r="A20" i="23"/>
  <c r="P19" i="23"/>
  <c r="O19" i="23"/>
  <c r="N19" i="23"/>
  <c r="A19" i="23"/>
  <c r="P18" i="23"/>
  <c r="O18" i="23"/>
  <c r="N18" i="23"/>
  <c r="A18" i="23"/>
  <c r="P17" i="23"/>
  <c r="O17" i="23"/>
  <c r="N17" i="23"/>
  <c r="A17" i="23"/>
  <c r="P16" i="23"/>
  <c r="O16" i="23"/>
  <c r="N16" i="23"/>
  <c r="A16" i="23"/>
  <c r="P15" i="23"/>
  <c r="O15" i="23"/>
  <c r="N15" i="23"/>
  <c r="A15" i="23"/>
  <c r="P14" i="23"/>
  <c r="O14" i="23"/>
  <c r="N14" i="23"/>
  <c r="A14" i="23"/>
  <c r="P13" i="23"/>
  <c r="O13" i="23"/>
  <c r="N13" i="23"/>
  <c r="A13" i="23"/>
  <c r="P12" i="23"/>
  <c r="O12" i="23"/>
  <c r="N12" i="23"/>
  <c r="A12" i="23"/>
  <c r="P11" i="23"/>
  <c r="O11" i="23"/>
  <c r="N11" i="23"/>
  <c r="A11" i="23"/>
  <c r="P10" i="23"/>
  <c r="O10" i="23"/>
  <c r="N10" i="23"/>
  <c r="A10" i="23"/>
  <c r="P9" i="23"/>
  <c r="O9" i="23"/>
  <c r="N9" i="23"/>
  <c r="A9" i="23"/>
  <c r="P8" i="23"/>
  <c r="O8" i="23"/>
  <c r="N8" i="23"/>
  <c r="A8" i="23"/>
  <c r="P7" i="23"/>
  <c r="O7" i="23"/>
  <c r="N7" i="23"/>
  <c r="A7" i="23"/>
  <c r="P6" i="23"/>
  <c r="O6" i="23"/>
  <c r="N6" i="23"/>
  <c r="A6" i="23"/>
  <c r="P5" i="23"/>
  <c r="O5" i="23"/>
  <c r="N5" i="23"/>
  <c r="A5" i="23"/>
  <c r="Q4" i="23"/>
  <c r="P4" i="23"/>
  <c r="O4" i="23"/>
  <c r="N4" i="23"/>
  <c r="M4" i="23"/>
  <c r="L4" i="23"/>
  <c r="K4" i="23"/>
  <c r="J4" i="23"/>
  <c r="I4" i="23"/>
  <c r="H4" i="23"/>
  <c r="G4" i="23"/>
  <c r="F4" i="23"/>
  <c r="E4" i="23"/>
  <c r="D4" i="23"/>
  <c r="C4" i="23"/>
  <c r="B4" i="23"/>
  <c r="A4" i="23"/>
  <c r="Q3" i="23"/>
  <c r="P3" i="23"/>
  <c r="O3" i="23"/>
  <c r="N3" i="23"/>
  <c r="M3" i="23"/>
  <c r="L3" i="23"/>
  <c r="K3" i="23"/>
  <c r="J3" i="23"/>
  <c r="I3" i="23"/>
  <c r="H3" i="23"/>
  <c r="G3" i="23"/>
  <c r="F3" i="23"/>
  <c r="E3" i="23"/>
  <c r="D3" i="23"/>
  <c r="C3" i="23"/>
  <c r="B3" i="23"/>
  <c r="N2" i="23"/>
  <c r="M2" i="23"/>
  <c r="L2" i="23"/>
  <c r="J2" i="23"/>
  <c r="I2" i="23"/>
  <c r="H2" i="23"/>
  <c r="G2" i="23"/>
  <c r="F2" i="23"/>
  <c r="E2" i="23"/>
  <c r="C2" i="23"/>
  <c r="B2" i="23"/>
  <c r="P1" i="23"/>
  <c r="O1" i="23"/>
  <c r="M1" i="23"/>
  <c r="L1" i="23"/>
  <c r="K1" i="23"/>
  <c r="J1" i="23"/>
  <c r="I1" i="23"/>
  <c r="H1" i="23"/>
  <c r="G1" i="23"/>
  <c r="F1" i="23"/>
  <c r="E1" i="23"/>
  <c r="D1" i="23"/>
  <c r="C1" i="23"/>
  <c r="B1" i="23"/>
  <c r="J141" i="17" l="1"/>
  <c r="J140" i="17"/>
  <c r="J139" i="17"/>
  <c r="J138" i="17"/>
  <c r="J137" i="17"/>
  <c r="J136" i="17"/>
  <c r="J135" i="17"/>
  <c r="J134" i="17"/>
  <c r="J133" i="17"/>
  <c r="J132" i="17"/>
  <c r="J131" i="17"/>
  <c r="J130" i="17"/>
  <c r="J129" i="17"/>
  <c r="J128" i="17"/>
  <c r="J127" i="17"/>
  <c r="J126" i="17"/>
  <c r="J125" i="17"/>
  <c r="J124" i="17"/>
  <c r="J123" i="17"/>
  <c r="J122" i="17"/>
  <c r="J121" i="17"/>
  <c r="J120" i="17"/>
  <c r="J119" i="17"/>
  <c r="J118" i="17"/>
  <c r="J117" i="17"/>
  <c r="J116" i="17"/>
  <c r="J115" i="17"/>
  <c r="J114" i="17"/>
  <c r="J113" i="17"/>
  <c r="J112" i="17"/>
  <c r="J111" i="17"/>
  <c r="J110" i="17"/>
  <c r="J109" i="17"/>
  <c r="J108" i="17"/>
  <c r="J107" i="17"/>
  <c r="J106" i="17"/>
  <c r="J105" i="17"/>
  <c r="J104" i="17"/>
  <c r="J103" i="17"/>
  <c r="J102" i="17"/>
  <c r="J101" i="17"/>
  <c r="J100" i="17"/>
  <c r="J99" i="17"/>
  <c r="J98" i="17"/>
  <c r="J97" i="17"/>
  <c r="J96" i="17"/>
  <c r="J95" i="17"/>
  <c r="J94" i="17"/>
  <c r="J93" i="17"/>
  <c r="J92" i="17"/>
  <c r="J91" i="17"/>
  <c r="J90" i="17"/>
  <c r="J89" i="17"/>
  <c r="J88" i="17"/>
  <c r="J87" i="17"/>
  <c r="J86" i="17"/>
  <c r="J85" i="17"/>
  <c r="J84" i="17"/>
  <c r="J83" i="17"/>
  <c r="J82" i="17"/>
  <c r="J81" i="17"/>
  <c r="J80" i="17"/>
  <c r="J79" i="17"/>
  <c r="J78" i="17"/>
  <c r="J77" i="17"/>
  <c r="J76" i="17"/>
  <c r="J75" i="17"/>
  <c r="J74" i="17"/>
  <c r="J73" i="17"/>
  <c r="J72" i="17"/>
  <c r="J71" i="17"/>
  <c r="J70" i="17"/>
  <c r="J69" i="17"/>
  <c r="J68" i="17"/>
  <c r="J67" i="17"/>
  <c r="J66" i="17"/>
  <c r="J65" i="17"/>
  <c r="J64" i="17"/>
  <c r="J63" i="17"/>
  <c r="J62" i="17"/>
  <c r="J61" i="17"/>
  <c r="J60" i="17"/>
  <c r="J59" i="17"/>
  <c r="J58" i="17"/>
  <c r="J57" i="17"/>
  <c r="J56" i="17"/>
  <c r="J55" i="17"/>
  <c r="J54" i="17"/>
  <c r="J53" i="17"/>
  <c r="J52" i="17"/>
  <c r="J51" i="17"/>
  <c r="J50" i="17"/>
  <c r="J49" i="17"/>
  <c r="J48" i="17"/>
  <c r="J47" i="17"/>
  <c r="J46" i="17"/>
  <c r="J45" i="17"/>
  <c r="J44" i="17"/>
  <c r="J43" i="17"/>
  <c r="J42" i="17"/>
  <c r="J41" i="17"/>
  <c r="J40" i="17"/>
  <c r="J39" i="17"/>
  <c r="J37" i="17"/>
  <c r="J36" i="17"/>
  <c r="J35" i="17"/>
  <c r="J34" i="17"/>
  <c r="J33" i="17"/>
  <c r="J32" i="17"/>
  <c r="J31" i="17"/>
  <c r="J30" i="17"/>
  <c r="J29" i="17"/>
  <c r="J28" i="17"/>
  <c r="J27" i="17"/>
  <c r="J26" i="17"/>
  <c r="J25" i="17"/>
  <c r="J24" i="17"/>
  <c r="J23" i="17"/>
  <c r="J22" i="17"/>
  <c r="J21" i="17"/>
  <c r="J20" i="17"/>
  <c r="J19" i="17"/>
  <c r="J18" i="17"/>
  <c r="J17" i="17"/>
  <c r="J16" i="17"/>
  <c r="J15" i="17"/>
  <c r="J14" i="17"/>
  <c r="J13" i="17"/>
  <c r="J12" i="17"/>
  <c r="J11" i="17"/>
  <c r="J10" i="17"/>
  <c r="J9" i="17"/>
  <c r="J8" i="17"/>
  <c r="J7" i="17"/>
  <c r="J6" i="17"/>
  <c r="J5" i="17"/>
  <c r="T141" i="17"/>
  <c r="H141" i="23" s="1"/>
  <c r="S141" i="17"/>
  <c r="G141" i="23" s="1"/>
  <c r="R141" i="17"/>
  <c r="F141" i="23" s="1"/>
  <c r="T140" i="17"/>
  <c r="H140" i="23" s="1"/>
  <c r="S140" i="17"/>
  <c r="G140" i="23" s="1"/>
  <c r="R140" i="17"/>
  <c r="F140" i="23" s="1"/>
  <c r="T139" i="17"/>
  <c r="H139" i="23" s="1"/>
  <c r="S139" i="17"/>
  <c r="G139" i="23" s="1"/>
  <c r="R139" i="17"/>
  <c r="F139" i="23" s="1"/>
  <c r="T138" i="17"/>
  <c r="H138" i="23" s="1"/>
  <c r="S138" i="17"/>
  <c r="G138" i="23" s="1"/>
  <c r="R138" i="17"/>
  <c r="F138" i="23" s="1"/>
  <c r="T137" i="17"/>
  <c r="H137" i="23" s="1"/>
  <c r="S137" i="17"/>
  <c r="G137" i="23" s="1"/>
  <c r="R137" i="17"/>
  <c r="F137" i="23" s="1"/>
  <c r="T136" i="17"/>
  <c r="H136" i="23" s="1"/>
  <c r="S136" i="17"/>
  <c r="G136" i="23" s="1"/>
  <c r="R136" i="17"/>
  <c r="F136" i="23" s="1"/>
  <c r="T135" i="17"/>
  <c r="H135" i="23" s="1"/>
  <c r="S135" i="17"/>
  <c r="G135" i="23" s="1"/>
  <c r="R135" i="17"/>
  <c r="F135" i="23" s="1"/>
  <c r="T134" i="17"/>
  <c r="H134" i="23" s="1"/>
  <c r="S134" i="17"/>
  <c r="G134" i="23" s="1"/>
  <c r="R134" i="17"/>
  <c r="F134" i="23" s="1"/>
  <c r="T133" i="17"/>
  <c r="H133" i="23" s="1"/>
  <c r="S133" i="17"/>
  <c r="G133" i="23" s="1"/>
  <c r="R133" i="17"/>
  <c r="F133" i="23" s="1"/>
  <c r="T132" i="17"/>
  <c r="H132" i="23" s="1"/>
  <c r="S132" i="17"/>
  <c r="G132" i="23" s="1"/>
  <c r="R132" i="17"/>
  <c r="F132" i="23" s="1"/>
  <c r="T131" i="17"/>
  <c r="H131" i="23" s="1"/>
  <c r="S131" i="17"/>
  <c r="G131" i="23" s="1"/>
  <c r="R131" i="17"/>
  <c r="F131" i="23" s="1"/>
  <c r="T130" i="17"/>
  <c r="H130" i="23" s="1"/>
  <c r="S130" i="17"/>
  <c r="G130" i="23" s="1"/>
  <c r="R130" i="17"/>
  <c r="F130" i="23" s="1"/>
  <c r="T129" i="17"/>
  <c r="H129" i="23" s="1"/>
  <c r="S129" i="17"/>
  <c r="G129" i="23" s="1"/>
  <c r="R129" i="17"/>
  <c r="F129" i="23" s="1"/>
  <c r="T128" i="17"/>
  <c r="H128" i="23" s="1"/>
  <c r="S128" i="17"/>
  <c r="G128" i="23" s="1"/>
  <c r="R128" i="17"/>
  <c r="F128" i="23" s="1"/>
  <c r="T127" i="17"/>
  <c r="H127" i="23" s="1"/>
  <c r="S127" i="17"/>
  <c r="G127" i="23" s="1"/>
  <c r="R127" i="17"/>
  <c r="F127" i="23" s="1"/>
  <c r="T126" i="17"/>
  <c r="H126" i="23" s="1"/>
  <c r="S126" i="17"/>
  <c r="G126" i="23" s="1"/>
  <c r="R126" i="17"/>
  <c r="F126" i="23" s="1"/>
  <c r="T125" i="17"/>
  <c r="H125" i="23" s="1"/>
  <c r="S125" i="17"/>
  <c r="G125" i="23" s="1"/>
  <c r="R125" i="17"/>
  <c r="F125" i="23" s="1"/>
  <c r="T124" i="17"/>
  <c r="H124" i="23" s="1"/>
  <c r="S124" i="17"/>
  <c r="G124" i="23" s="1"/>
  <c r="R124" i="17"/>
  <c r="F124" i="23" s="1"/>
  <c r="T123" i="17"/>
  <c r="H123" i="23" s="1"/>
  <c r="S123" i="17"/>
  <c r="G123" i="23" s="1"/>
  <c r="R123" i="17"/>
  <c r="F123" i="23" s="1"/>
  <c r="T122" i="17"/>
  <c r="H122" i="23" s="1"/>
  <c r="S122" i="17"/>
  <c r="G122" i="23" s="1"/>
  <c r="R122" i="17"/>
  <c r="F122" i="23" s="1"/>
  <c r="T121" i="17"/>
  <c r="H121" i="23" s="1"/>
  <c r="S121" i="17"/>
  <c r="G121" i="23" s="1"/>
  <c r="R121" i="17"/>
  <c r="F121" i="23" s="1"/>
  <c r="T120" i="17"/>
  <c r="H120" i="23" s="1"/>
  <c r="S120" i="17"/>
  <c r="G120" i="23" s="1"/>
  <c r="R120" i="17"/>
  <c r="F120" i="23" s="1"/>
  <c r="T119" i="17"/>
  <c r="H119" i="23" s="1"/>
  <c r="S119" i="17"/>
  <c r="G119" i="23" s="1"/>
  <c r="R119" i="17"/>
  <c r="F119" i="23" s="1"/>
  <c r="T118" i="17"/>
  <c r="H118" i="23" s="1"/>
  <c r="S118" i="17"/>
  <c r="G118" i="23" s="1"/>
  <c r="R118" i="17"/>
  <c r="F118" i="23" s="1"/>
  <c r="T117" i="17"/>
  <c r="H117" i="23" s="1"/>
  <c r="S117" i="17"/>
  <c r="G117" i="23" s="1"/>
  <c r="R117" i="17"/>
  <c r="F117" i="23" s="1"/>
  <c r="T116" i="17"/>
  <c r="H116" i="23" s="1"/>
  <c r="S116" i="17"/>
  <c r="G116" i="23" s="1"/>
  <c r="R116" i="17"/>
  <c r="F116" i="23" s="1"/>
  <c r="T115" i="17"/>
  <c r="H115" i="23" s="1"/>
  <c r="S115" i="17"/>
  <c r="G115" i="23" s="1"/>
  <c r="R115" i="17"/>
  <c r="F115" i="23" s="1"/>
  <c r="T114" i="17"/>
  <c r="H114" i="23" s="1"/>
  <c r="S114" i="17"/>
  <c r="G114" i="23" s="1"/>
  <c r="R114" i="17"/>
  <c r="F114" i="23" s="1"/>
  <c r="T113" i="17"/>
  <c r="H113" i="23" s="1"/>
  <c r="S113" i="17"/>
  <c r="G113" i="23" s="1"/>
  <c r="R113" i="17"/>
  <c r="F113" i="23" s="1"/>
  <c r="T112" i="17"/>
  <c r="H112" i="23" s="1"/>
  <c r="S112" i="17"/>
  <c r="G112" i="23" s="1"/>
  <c r="R112" i="17"/>
  <c r="F112" i="23" s="1"/>
  <c r="T111" i="17"/>
  <c r="H111" i="23" s="1"/>
  <c r="S111" i="17"/>
  <c r="G111" i="23" s="1"/>
  <c r="R111" i="17"/>
  <c r="F111" i="23" s="1"/>
  <c r="T110" i="17"/>
  <c r="H110" i="23" s="1"/>
  <c r="S110" i="17"/>
  <c r="G110" i="23" s="1"/>
  <c r="R110" i="17"/>
  <c r="F110" i="23" s="1"/>
  <c r="T109" i="17"/>
  <c r="H109" i="23" s="1"/>
  <c r="S109" i="17"/>
  <c r="G109" i="23" s="1"/>
  <c r="R109" i="17"/>
  <c r="F109" i="23" s="1"/>
  <c r="T108" i="17"/>
  <c r="H108" i="23" s="1"/>
  <c r="S108" i="17"/>
  <c r="G108" i="23" s="1"/>
  <c r="R108" i="17"/>
  <c r="F108" i="23" s="1"/>
  <c r="T107" i="17"/>
  <c r="H107" i="23" s="1"/>
  <c r="S107" i="17"/>
  <c r="G107" i="23" s="1"/>
  <c r="R107" i="17"/>
  <c r="F107" i="23" s="1"/>
  <c r="T106" i="17"/>
  <c r="H106" i="23" s="1"/>
  <c r="S106" i="17"/>
  <c r="G106" i="23" s="1"/>
  <c r="R106" i="17"/>
  <c r="F106" i="23" s="1"/>
  <c r="T105" i="17"/>
  <c r="H105" i="23" s="1"/>
  <c r="S105" i="17"/>
  <c r="G105" i="23" s="1"/>
  <c r="R105" i="17"/>
  <c r="F105" i="23" s="1"/>
  <c r="T104" i="17"/>
  <c r="H104" i="23" s="1"/>
  <c r="S104" i="17"/>
  <c r="G104" i="23" s="1"/>
  <c r="R104" i="17"/>
  <c r="F104" i="23" s="1"/>
  <c r="T103" i="17"/>
  <c r="H103" i="23" s="1"/>
  <c r="S103" i="17"/>
  <c r="G103" i="23" s="1"/>
  <c r="R103" i="17"/>
  <c r="F103" i="23" s="1"/>
  <c r="T102" i="17"/>
  <c r="H102" i="23" s="1"/>
  <c r="S102" i="17"/>
  <c r="G102" i="23" s="1"/>
  <c r="R102" i="17"/>
  <c r="F102" i="23" s="1"/>
  <c r="T101" i="17"/>
  <c r="H101" i="23" s="1"/>
  <c r="S101" i="17"/>
  <c r="G101" i="23" s="1"/>
  <c r="R101" i="17"/>
  <c r="F101" i="23" s="1"/>
  <c r="T100" i="17"/>
  <c r="H100" i="23" s="1"/>
  <c r="S100" i="17"/>
  <c r="G100" i="23" s="1"/>
  <c r="R100" i="17"/>
  <c r="F100" i="23" s="1"/>
  <c r="T99" i="17"/>
  <c r="H99" i="23" s="1"/>
  <c r="S99" i="17"/>
  <c r="G99" i="23" s="1"/>
  <c r="R99" i="17"/>
  <c r="F99" i="23" s="1"/>
  <c r="T98" i="17"/>
  <c r="H98" i="23" s="1"/>
  <c r="S98" i="17"/>
  <c r="G98" i="23" s="1"/>
  <c r="R98" i="17"/>
  <c r="F98" i="23" s="1"/>
  <c r="T97" i="17"/>
  <c r="H97" i="23" s="1"/>
  <c r="S97" i="17"/>
  <c r="G97" i="23" s="1"/>
  <c r="R97" i="17"/>
  <c r="F97" i="23" s="1"/>
  <c r="T96" i="17"/>
  <c r="H96" i="23" s="1"/>
  <c r="S96" i="17"/>
  <c r="G96" i="23" s="1"/>
  <c r="R96" i="17"/>
  <c r="F96" i="23" s="1"/>
  <c r="T95" i="17"/>
  <c r="H95" i="23" s="1"/>
  <c r="S95" i="17"/>
  <c r="G95" i="23" s="1"/>
  <c r="R95" i="17"/>
  <c r="F95" i="23" s="1"/>
  <c r="T94" i="17"/>
  <c r="H94" i="23" s="1"/>
  <c r="S94" i="17"/>
  <c r="G94" i="23" s="1"/>
  <c r="R94" i="17"/>
  <c r="F94" i="23" s="1"/>
  <c r="T93" i="17"/>
  <c r="H93" i="23" s="1"/>
  <c r="S93" i="17"/>
  <c r="G93" i="23" s="1"/>
  <c r="R93" i="17"/>
  <c r="F93" i="23" s="1"/>
  <c r="T92" i="17"/>
  <c r="H92" i="23" s="1"/>
  <c r="S92" i="17"/>
  <c r="G92" i="23" s="1"/>
  <c r="R92" i="17"/>
  <c r="F92" i="23" s="1"/>
  <c r="T91" i="17"/>
  <c r="H91" i="23" s="1"/>
  <c r="S91" i="17"/>
  <c r="G91" i="23" s="1"/>
  <c r="R91" i="17"/>
  <c r="F91" i="23" s="1"/>
  <c r="T90" i="17"/>
  <c r="H90" i="23" s="1"/>
  <c r="S90" i="17"/>
  <c r="G90" i="23" s="1"/>
  <c r="R90" i="17"/>
  <c r="F90" i="23" s="1"/>
  <c r="T89" i="17"/>
  <c r="H89" i="23" s="1"/>
  <c r="S89" i="17"/>
  <c r="G89" i="23" s="1"/>
  <c r="R89" i="17"/>
  <c r="F89" i="23" s="1"/>
  <c r="T88" i="17"/>
  <c r="H88" i="23" s="1"/>
  <c r="S88" i="17"/>
  <c r="G88" i="23" s="1"/>
  <c r="R88" i="17"/>
  <c r="F88" i="23" s="1"/>
  <c r="T87" i="17"/>
  <c r="H87" i="23" s="1"/>
  <c r="S87" i="17"/>
  <c r="G87" i="23" s="1"/>
  <c r="R87" i="17"/>
  <c r="F87" i="23" s="1"/>
  <c r="T86" i="17"/>
  <c r="H86" i="23" s="1"/>
  <c r="S86" i="17"/>
  <c r="G86" i="23" s="1"/>
  <c r="R86" i="17"/>
  <c r="F86" i="23" s="1"/>
  <c r="T85" i="17"/>
  <c r="H85" i="23" s="1"/>
  <c r="S85" i="17"/>
  <c r="G85" i="23" s="1"/>
  <c r="R85" i="17"/>
  <c r="F85" i="23" s="1"/>
  <c r="T84" i="17"/>
  <c r="H84" i="23" s="1"/>
  <c r="S84" i="17"/>
  <c r="G84" i="23" s="1"/>
  <c r="R84" i="17"/>
  <c r="F84" i="23" s="1"/>
  <c r="T83" i="17"/>
  <c r="H83" i="23" s="1"/>
  <c r="S83" i="17"/>
  <c r="G83" i="23" s="1"/>
  <c r="R83" i="17"/>
  <c r="F83" i="23" s="1"/>
  <c r="T82" i="17"/>
  <c r="H82" i="23" s="1"/>
  <c r="S82" i="17"/>
  <c r="G82" i="23" s="1"/>
  <c r="R82" i="17"/>
  <c r="F82" i="23" s="1"/>
  <c r="T81" i="17"/>
  <c r="H81" i="23" s="1"/>
  <c r="S81" i="17"/>
  <c r="G81" i="23" s="1"/>
  <c r="R81" i="17"/>
  <c r="F81" i="23" s="1"/>
  <c r="T80" i="17"/>
  <c r="H80" i="23" s="1"/>
  <c r="S80" i="17"/>
  <c r="G80" i="23" s="1"/>
  <c r="R80" i="17"/>
  <c r="F80" i="23" s="1"/>
  <c r="T79" i="17"/>
  <c r="H79" i="23" s="1"/>
  <c r="S79" i="17"/>
  <c r="G79" i="23" s="1"/>
  <c r="R79" i="17"/>
  <c r="F79" i="23" s="1"/>
  <c r="T78" i="17"/>
  <c r="H78" i="23" s="1"/>
  <c r="S78" i="17"/>
  <c r="G78" i="23" s="1"/>
  <c r="R78" i="17"/>
  <c r="F78" i="23" s="1"/>
  <c r="T77" i="17"/>
  <c r="H77" i="23" s="1"/>
  <c r="S77" i="17"/>
  <c r="G77" i="23" s="1"/>
  <c r="R77" i="17"/>
  <c r="F77" i="23" s="1"/>
  <c r="T76" i="17"/>
  <c r="H76" i="23" s="1"/>
  <c r="S76" i="17"/>
  <c r="G76" i="23" s="1"/>
  <c r="R76" i="17"/>
  <c r="F76" i="23" s="1"/>
  <c r="T75" i="17"/>
  <c r="H75" i="23" s="1"/>
  <c r="S75" i="17"/>
  <c r="G75" i="23" s="1"/>
  <c r="R75" i="17"/>
  <c r="F75" i="23" s="1"/>
  <c r="T74" i="17"/>
  <c r="H74" i="23" s="1"/>
  <c r="S74" i="17"/>
  <c r="G74" i="23" s="1"/>
  <c r="R74" i="17"/>
  <c r="F74" i="23" s="1"/>
  <c r="T73" i="17"/>
  <c r="H73" i="23" s="1"/>
  <c r="S73" i="17"/>
  <c r="G73" i="23" s="1"/>
  <c r="R73" i="17"/>
  <c r="F73" i="23" s="1"/>
  <c r="T72" i="17"/>
  <c r="H72" i="23" s="1"/>
  <c r="S72" i="17"/>
  <c r="G72" i="23" s="1"/>
  <c r="R72" i="17"/>
  <c r="F72" i="23" s="1"/>
  <c r="T71" i="17"/>
  <c r="H71" i="23" s="1"/>
  <c r="S71" i="17"/>
  <c r="G71" i="23" s="1"/>
  <c r="R71" i="17"/>
  <c r="F71" i="23" s="1"/>
  <c r="T70" i="17"/>
  <c r="H70" i="23" s="1"/>
  <c r="S70" i="17"/>
  <c r="G70" i="23" s="1"/>
  <c r="R70" i="17"/>
  <c r="F70" i="23" s="1"/>
  <c r="T69" i="17"/>
  <c r="H69" i="23" s="1"/>
  <c r="S69" i="17"/>
  <c r="G69" i="23" s="1"/>
  <c r="R69" i="17"/>
  <c r="F69" i="23" s="1"/>
  <c r="T68" i="17"/>
  <c r="H68" i="23" s="1"/>
  <c r="S68" i="17"/>
  <c r="G68" i="23" s="1"/>
  <c r="R68" i="17"/>
  <c r="F68" i="23" s="1"/>
  <c r="T67" i="17"/>
  <c r="H67" i="23" s="1"/>
  <c r="S67" i="17"/>
  <c r="G67" i="23" s="1"/>
  <c r="R67" i="17"/>
  <c r="F67" i="23" s="1"/>
  <c r="T66" i="17"/>
  <c r="H66" i="23" s="1"/>
  <c r="S66" i="17"/>
  <c r="G66" i="23" s="1"/>
  <c r="R66" i="17"/>
  <c r="F66" i="23" s="1"/>
  <c r="T65" i="17"/>
  <c r="H65" i="23" s="1"/>
  <c r="S65" i="17"/>
  <c r="G65" i="23" s="1"/>
  <c r="R65" i="17"/>
  <c r="F65" i="23" s="1"/>
  <c r="T64" i="17"/>
  <c r="H64" i="23" s="1"/>
  <c r="S64" i="17"/>
  <c r="G64" i="23" s="1"/>
  <c r="R64" i="17"/>
  <c r="F64" i="23" s="1"/>
  <c r="T63" i="17"/>
  <c r="H63" i="23" s="1"/>
  <c r="S63" i="17"/>
  <c r="G63" i="23" s="1"/>
  <c r="R63" i="17"/>
  <c r="F63" i="23" s="1"/>
  <c r="T62" i="17"/>
  <c r="H62" i="23" s="1"/>
  <c r="S62" i="17"/>
  <c r="G62" i="23" s="1"/>
  <c r="R62" i="17"/>
  <c r="F62" i="23" s="1"/>
  <c r="T61" i="17"/>
  <c r="H61" i="23" s="1"/>
  <c r="S61" i="17"/>
  <c r="G61" i="23" s="1"/>
  <c r="R61" i="17"/>
  <c r="F61" i="23" s="1"/>
  <c r="T60" i="17"/>
  <c r="H60" i="23" s="1"/>
  <c r="S60" i="17"/>
  <c r="G60" i="23" s="1"/>
  <c r="R60" i="17"/>
  <c r="F60" i="23" s="1"/>
  <c r="T59" i="17"/>
  <c r="H59" i="23" s="1"/>
  <c r="S59" i="17"/>
  <c r="G59" i="23" s="1"/>
  <c r="R59" i="17"/>
  <c r="F59" i="23" s="1"/>
  <c r="T58" i="17"/>
  <c r="H58" i="23" s="1"/>
  <c r="S58" i="17"/>
  <c r="G58" i="23" s="1"/>
  <c r="R58" i="17"/>
  <c r="F58" i="23" s="1"/>
  <c r="T57" i="17"/>
  <c r="H57" i="23" s="1"/>
  <c r="S57" i="17"/>
  <c r="G57" i="23" s="1"/>
  <c r="R57" i="17"/>
  <c r="F57" i="23" s="1"/>
  <c r="T56" i="17"/>
  <c r="H56" i="23" s="1"/>
  <c r="S56" i="17"/>
  <c r="G56" i="23" s="1"/>
  <c r="R56" i="17"/>
  <c r="F56" i="23" s="1"/>
  <c r="T55" i="17"/>
  <c r="H55" i="23" s="1"/>
  <c r="S55" i="17"/>
  <c r="G55" i="23" s="1"/>
  <c r="R55" i="17"/>
  <c r="F55" i="23" s="1"/>
  <c r="T54" i="17"/>
  <c r="H54" i="23" s="1"/>
  <c r="S54" i="17"/>
  <c r="G54" i="23" s="1"/>
  <c r="R54" i="17"/>
  <c r="F54" i="23" s="1"/>
  <c r="T53" i="17"/>
  <c r="H53" i="23" s="1"/>
  <c r="S53" i="17"/>
  <c r="G53" i="23" s="1"/>
  <c r="R53" i="17"/>
  <c r="F53" i="23" s="1"/>
  <c r="T52" i="17"/>
  <c r="H52" i="23" s="1"/>
  <c r="S52" i="17"/>
  <c r="G52" i="23" s="1"/>
  <c r="R52" i="17"/>
  <c r="F52" i="23" s="1"/>
  <c r="T51" i="17"/>
  <c r="H51" i="23" s="1"/>
  <c r="S51" i="17"/>
  <c r="G51" i="23" s="1"/>
  <c r="R51" i="17"/>
  <c r="F51" i="23" s="1"/>
  <c r="T50" i="17"/>
  <c r="H50" i="23" s="1"/>
  <c r="S50" i="17"/>
  <c r="G50" i="23" s="1"/>
  <c r="R50" i="17"/>
  <c r="F50" i="23" s="1"/>
  <c r="T49" i="17"/>
  <c r="H49" i="23" s="1"/>
  <c r="S49" i="17"/>
  <c r="G49" i="23" s="1"/>
  <c r="R49" i="17"/>
  <c r="F49" i="23" s="1"/>
  <c r="T48" i="17"/>
  <c r="H48" i="23" s="1"/>
  <c r="S48" i="17"/>
  <c r="G48" i="23" s="1"/>
  <c r="R48" i="17"/>
  <c r="F48" i="23" s="1"/>
  <c r="T47" i="17"/>
  <c r="H47" i="23" s="1"/>
  <c r="S47" i="17"/>
  <c r="G47" i="23" s="1"/>
  <c r="R47" i="17"/>
  <c r="F47" i="23" s="1"/>
  <c r="T46" i="17"/>
  <c r="H46" i="23" s="1"/>
  <c r="S46" i="17"/>
  <c r="G46" i="23" s="1"/>
  <c r="R46" i="17"/>
  <c r="F46" i="23" s="1"/>
  <c r="T45" i="17"/>
  <c r="H45" i="23" s="1"/>
  <c r="S45" i="17"/>
  <c r="G45" i="23" s="1"/>
  <c r="R45" i="17"/>
  <c r="F45" i="23" s="1"/>
  <c r="T44" i="17"/>
  <c r="H44" i="23" s="1"/>
  <c r="S44" i="17"/>
  <c r="G44" i="23" s="1"/>
  <c r="R44" i="17"/>
  <c r="F44" i="23" s="1"/>
  <c r="T43" i="17"/>
  <c r="H43" i="23" s="1"/>
  <c r="S43" i="17"/>
  <c r="G43" i="23" s="1"/>
  <c r="R43" i="17"/>
  <c r="F43" i="23" s="1"/>
  <c r="T42" i="17"/>
  <c r="H42" i="23" s="1"/>
  <c r="S42" i="17"/>
  <c r="G42" i="23" s="1"/>
  <c r="R42" i="17"/>
  <c r="F42" i="23" s="1"/>
  <c r="T41" i="17"/>
  <c r="H41" i="23" s="1"/>
  <c r="S41" i="17"/>
  <c r="G41" i="23" s="1"/>
  <c r="R41" i="17"/>
  <c r="F41" i="23" s="1"/>
  <c r="T40" i="17"/>
  <c r="H40" i="23" s="1"/>
  <c r="S40" i="17"/>
  <c r="G40" i="23" s="1"/>
  <c r="R40" i="17"/>
  <c r="F40" i="23" s="1"/>
  <c r="T39" i="17"/>
  <c r="H39" i="23" s="1"/>
  <c r="S39" i="17"/>
  <c r="G39" i="23" s="1"/>
  <c r="R39" i="17"/>
  <c r="F39" i="23" s="1"/>
  <c r="T37" i="17"/>
  <c r="H37" i="23" s="1"/>
  <c r="S37" i="17"/>
  <c r="G37" i="23" s="1"/>
  <c r="R37" i="17"/>
  <c r="F37" i="23" s="1"/>
  <c r="T36" i="17"/>
  <c r="H36" i="23" s="1"/>
  <c r="S36" i="17"/>
  <c r="G36" i="23" s="1"/>
  <c r="R36" i="17"/>
  <c r="F36" i="23" s="1"/>
  <c r="T35" i="17"/>
  <c r="H35" i="23" s="1"/>
  <c r="S35" i="17"/>
  <c r="G35" i="23" s="1"/>
  <c r="R35" i="17"/>
  <c r="F35" i="23" s="1"/>
  <c r="T34" i="17"/>
  <c r="H34" i="23" s="1"/>
  <c r="S34" i="17"/>
  <c r="G34" i="23" s="1"/>
  <c r="R34" i="17"/>
  <c r="F34" i="23" s="1"/>
  <c r="T33" i="17"/>
  <c r="H33" i="23" s="1"/>
  <c r="S33" i="17"/>
  <c r="G33" i="23" s="1"/>
  <c r="R33" i="17"/>
  <c r="F33" i="23" s="1"/>
  <c r="T32" i="17"/>
  <c r="H32" i="23" s="1"/>
  <c r="S32" i="17"/>
  <c r="G32" i="23" s="1"/>
  <c r="R32" i="17"/>
  <c r="F32" i="23" s="1"/>
  <c r="T31" i="17"/>
  <c r="H31" i="23" s="1"/>
  <c r="S31" i="17"/>
  <c r="G31" i="23" s="1"/>
  <c r="R31" i="17"/>
  <c r="F31" i="23" s="1"/>
  <c r="T30" i="17"/>
  <c r="H30" i="23" s="1"/>
  <c r="S30" i="17"/>
  <c r="G30" i="23" s="1"/>
  <c r="R30" i="17"/>
  <c r="F30" i="23" s="1"/>
  <c r="T29" i="17"/>
  <c r="H29" i="23" s="1"/>
  <c r="S29" i="17"/>
  <c r="G29" i="23" s="1"/>
  <c r="R29" i="17"/>
  <c r="F29" i="23" s="1"/>
  <c r="T28" i="17"/>
  <c r="H28" i="23" s="1"/>
  <c r="S28" i="17"/>
  <c r="G28" i="23" s="1"/>
  <c r="R28" i="17"/>
  <c r="F28" i="23" s="1"/>
  <c r="T27" i="17"/>
  <c r="H27" i="23" s="1"/>
  <c r="S27" i="17"/>
  <c r="G27" i="23" s="1"/>
  <c r="R27" i="17"/>
  <c r="F27" i="23" s="1"/>
  <c r="T26" i="17"/>
  <c r="H26" i="23" s="1"/>
  <c r="S26" i="17"/>
  <c r="G26" i="23" s="1"/>
  <c r="R26" i="17"/>
  <c r="F26" i="23" s="1"/>
  <c r="T25" i="17"/>
  <c r="H25" i="23" s="1"/>
  <c r="S25" i="17"/>
  <c r="G25" i="23" s="1"/>
  <c r="R25" i="17"/>
  <c r="F25" i="23" s="1"/>
  <c r="T24" i="17"/>
  <c r="H24" i="23" s="1"/>
  <c r="S24" i="17"/>
  <c r="G24" i="23" s="1"/>
  <c r="R24" i="17"/>
  <c r="F24" i="23" s="1"/>
  <c r="T23" i="17"/>
  <c r="H23" i="23" s="1"/>
  <c r="S23" i="17"/>
  <c r="G23" i="23" s="1"/>
  <c r="R23" i="17"/>
  <c r="F23" i="23" s="1"/>
  <c r="T22" i="17"/>
  <c r="H22" i="23" s="1"/>
  <c r="S22" i="17"/>
  <c r="G22" i="23" s="1"/>
  <c r="R22" i="17"/>
  <c r="F22" i="23" s="1"/>
  <c r="T21" i="17"/>
  <c r="H21" i="23" s="1"/>
  <c r="S21" i="17"/>
  <c r="G21" i="23" s="1"/>
  <c r="R21" i="17"/>
  <c r="F21" i="23" s="1"/>
  <c r="T20" i="17"/>
  <c r="H20" i="23" s="1"/>
  <c r="S20" i="17"/>
  <c r="G20" i="23" s="1"/>
  <c r="R20" i="17"/>
  <c r="F20" i="23" s="1"/>
  <c r="T19" i="17"/>
  <c r="H19" i="23" s="1"/>
  <c r="S19" i="17"/>
  <c r="G19" i="23" s="1"/>
  <c r="R19" i="17"/>
  <c r="F19" i="23" s="1"/>
  <c r="T18" i="17"/>
  <c r="H18" i="23" s="1"/>
  <c r="S18" i="17"/>
  <c r="G18" i="23" s="1"/>
  <c r="R18" i="17"/>
  <c r="F18" i="23" s="1"/>
  <c r="T17" i="17"/>
  <c r="H17" i="23" s="1"/>
  <c r="S17" i="17"/>
  <c r="G17" i="23" s="1"/>
  <c r="R17" i="17"/>
  <c r="F17" i="23" s="1"/>
  <c r="T16" i="17"/>
  <c r="H16" i="23" s="1"/>
  <c r="S16" i="17"/>
  <c r="G16" i="23" s="1"/>
  <c r="R16" i="17"/>
  <c r="F16" i="23" s="1"/>
  <c r="T15" i="17"/>
  <c r="H15" i="23" s="1"/>
  <c r="S15" i="17"/>
  <c r="G15" i="23" s="1"/>
  <c r="R15" i="17"/>
  <c r="F15" i="23" s="1"/>
  <c r="T14" i="17"/>
  <c r="H14" i="23" s="1"/>
  <c r="S14" i="17"/>
  <c r="G14" i="23" s="1"/>
  <c r="R14" i="17"/>
  <c r="F14" i="23" s="1"/>
  <c r="T13" i="17"/>
  <c r="H13" i="23" s="1"/>
  <c r="S13" i="17"/>
  <c r="G13" i="23" s="1"/>
  <c r="R13" i="17"/>
  <c r="F13" i="23" s="1"/>
  <c r="T12" i="17"/>
  <c r="H12" i="23" s="1"/>
  <c r="S12" i="17"/>
  <c r="G12" i="23" s="1"/>
  <c r="R12" i="17"/>
  <c r="F12" i="23" s="1"/>
  <c r="T11" i="17"/>
  <c r="H11" i="23" s="1"/>
  <c r="S11" i="17"/>
  <c r="G11" i="23" s="1"/>
  <c r="R11" i="17"/>
  <c r="F11" i="23" s="1"/>
  <c r="T10" i="17"/>
  <c r="H10" i="23" s="1"/>
  <c r="S10" i="17"/>
  <c r="G10" i="23" s="1"/>
  <c r="R10" i="17"/>
  <c r="F10" i="23" s="1"/>
  <c r="T9" i="17"/>
  <c r="H9" i="23" s="1"/>
  <c r="S9" i="17"/>
  <c r="G9" i="23" s="1"/>
  <c r="R9" i="17"/>
  <c r="F9" i="23" s="1"/>
  <c r="T8" i="17"/>
  <c r="H8" i="23" s="1"/>
  <c r="S8" i="17"/>
  <c r="G8" i="23" s="1"/>
  <c r="R8" i="17"/>
  <c r="F8" i="23" s="1"/>
  <c r="T7" i="17"/>
  <c r="H7" i="23" s="1"/>
  <c r="S7" i="17"/>
  <c r="G7" i="23" s="1"/>
  <c r="R7" i="17"/>
  <c r="F7" i="23" s="1"/>
  <c r="T6" i="17"/>
  <c r="H6" i="23" s="1"/>
  <c r="S6" i="17"/>
  <c r="G6" i="23" s="1"/>
  <c r="R6" i="17"/>
  <c r="F6" i="23" s="1"/>
  <c r="T5" i="17"/>
  <c r="H5" i="23" s="1"/>
  <c r="S5" i="17"/>
  <c r="G5" i="23" s="1"/>
  <c r="R5" i="17"/>
  <c r="F5" i="23" s="1"/>
  <c r="U141" i="17"/>
  <c r="I141" i="23" s="1"/>
  <c r="U140" i="17"/>
  <c r="I140" i="23" s="1"/>
  <c r="U139" i="17"/>
  <c r="I139" i="23" s="1"/>
  <c r="U138" i="17"/>
  <c r="I138" i="23" s="1"/>
  <c r="U137" i="17"/>
  <c r="I137" i="23" s="1"/>
  <c r="U136" i="17"/>
  <c r="I136" i="23" s="1"/>
  <c r="U135" i="17"/>
  <c r="I135" i="23" s="1"/>
  <c r="U134" i="17"/>
  <c r="I134" i="23" s="1"/>
  <c r="U133" i="17"/>
  <c r="I133" i="23" s="1"/>
  <c r="U132" i="17"/>
  <c r="I132" i="23" s="1"/>
  <c r="U131" i="17"/>
  <c r="I131" i="23" s="1"/>
  <c r="U130" i="17"/>
  <c r="I130" i="23" s="1"/>
  <c r="U129" i="17"/>
  <c r="I129" i="23" s="1"/>
  <c r="U128" i="17"/>
  <c r="I128" i="23" s="1"/>
  <c r="U127" i="17"/>
  <c r="I127" i="23" s="1"/>
  <c r="U126" i="17"/>
  <c r="I126" i="23" s="1"/>
  <c r="U125" i="17"/>
  <c r="I125" i="23" s="1"/>
  <c r="U124" i="17"/>
  <c r="I124" i="23" s="1"/>
  <c r="U123" i="17"/>
  <c r="I123" i="23" s="1"/>
  <c r="U122" i="17"/>
  <c r="I122" i="23" s="1"/>
  <c r="U121" i="17"/>
  <c r="I121" i="23" s="1"/>
  <c r="U120" i="17"/>
  <c r="I120" i="23" s="1"/>
  <c r="U119" i="17"/>
  <c r="I119" i="23" s="1"/>
  <c r="U118" i="17"/>
  <c r="I118" i="23" s="1"/>
  <c r="U117" i="17"/>
  <c r="I117" i="23" s="1"/>
  <c r="U116" i="17"/>
  <c r="I116" i="23" s="1"/>
  <c r="U115" i="17"/>
  <c r="I115" i="23" s="1"/>
  <c r="U114" i="17"/>
  <c r="I114" i="23" s="1"/>
  <c r="U113" i="17"/>
  <c r="I113" i="23" s="1"/>
  <c r="U112" i="17"/>
  <c r="I112" i="23" s="1"/>
  <c r="U111" i="17"/>
  <c r="I111" i="23" s="1"/>
  <c r="U110" i="17"/>
  <c r="I110" i="23" s="1"/>
  <c r="U109" i="17"/>
  <c r="I109" i="23" s="1"/>
  <c r="U108" i="17"/>
  <c r="I108" i="23" s="1"/>
  <c r="U107" i="17"/>
  <c r="I107" i="23" s="1"/>
  <c r="U106" i="17"/>
  <c r="I106" i="23" s="1"/>
  <c r="U105" i="17"/>
  <c r="I105" i="23" s="1"/>
  <c r="U104" i="17"/>
  <c r="I104" i="23" s="1"/>
  <c r="U103" i="17"/>
  <c r="I103" i="23" s="1"/>
  <c r="U102" i="17"/>
  <c r="I102" i="23" s="1"/>
  <c r="U101" i="17"/>
  <c r="I101" i="23" s="1"/>
  <c r="U100" i="17"/>
  <c r="I100" i="23" s="1"/>
  <c r="U99" i="17"/>
  <c r="I99" i="23" s="1"/>
  <c r="U98" i="17"/>
  <c r="I98" i="23" s="1"/>
  <c r="U97" i="17"/>
  <c r="I97" i="23" s="1"/>
  <c r="U96" i="17"/>
  <c r="I96" i="23" s="1"/>
  <c r="U95" i="17"/>
  <c r="I95" i="23" s="1"/>
  <c r="U94" i="17"/>
  <c r="I94" i="23" s="1"/>
  <c r="U93" i="17"/>
  <c r="I93" i="23" s="1"/>
  <c r="U92" i="17"/>
  <c r="I92" i="23" s="1"/>
  <c r="U91" i="17"/>
  <c r="I91" i="23" s="1"/>
  <c r="U90" i="17"/>
  <c r="I90" i="23" s="1"/>
  <c r="U89" i="17"/>
  <c r="I89" i="23" s="1"/>
  <c r="U88" i="17"/>
  <c r="I88" i="23" s="1"/>
  <c r="U87" i="17"/>
  <c r="I87" i="23" s="1"/>
  <c r="U86" i="17"/>
  <c r="I86" i="23" s="1"/>
  <c r="U85" i="17"/>
  <c r="I85" i="23" s="1"/>
  <c r="U84" i="17"/>
  <c r="I84" i="23" s="1"/>
  <c r="U83" i="17"/>
  <c r="I83" i="23" s="1"/>
  <c r="U82" i="17"/>
  <c r="I82" i="23" s="1"/>
  <c r="U81" i="17"/>
  <c r="I81" i="23" s="1"/>
  <c r="U80" i="17"/>
  <c r="I80" i="23" s="1"/>
  <c r="U79" i="17"/>
  <c r="I79" i="23" s="1"/>
  <c r="U78" i="17"/>
  <c r="I78" i="23" s="1"/>
  <c r="U77" i="17"/>
  <c r="I77" i="23" s="1"/>
  <c r="U76" i="17"/>
  <c r="I76" i="23" s="1"/>
  <c r="U75" i="17"/>
  <c r="I75" i="23" s="1"/>
  <c r="U74" i="17"/>
  <c r="I74" i="23" s="1"/>
  <c r="U73" i="17"/>
  <c r="I73" i="23" s="1"/>
  <c r="U72" i="17"/>
  <c r="I72" i="23" s="1"/>
  <c r="U71" i="17"/>
  <c r="I71" i="23" s="1"/>
  <c r="U70" i="17"/>
  <c r="I70" i="23" s="1"/>
  <c r="U69" i="17"/>
  <c r="I69" i="23" s="1"/>
  <c r="U68" i="17"/>
  <c r="I68" i="23" s="1"/>
  <c r="U67" i="17"/>
  <c r="I67" i="23" s="1"/>
  <c r="U66" i="17"/>
  <c r="I66" i="23" s="1"/>
  <c r="U65" i="17"/>
  <c r="I65" i="23" s="1"/>
  <c r="U64" i="17"/>
  <c r="I64" i="23" s="1"/>
  <c r="U63" i="17"/>
  <c r="I63" i="23" s="1"/>
  <c r="U62" i="17"/>
  <c r="I62" i="23" s="1"/>
  <c r="U61" i="17"/>
  <c r="I61" i="23" s="1"/>
  <c r="U60" i="17"/>
  <c r="I60" i="23" s="1"/>
  <c r="U59" i="17"/>
  <c r="I59" i="23" s="1"/>
  <c r="U58" i="17"/>
  <c r="I58" i="23" s="1"/>
  <c r="U57" i="17"/>
  <c r="I57" i="23" s="1"/>
  <c r="U56" i="17"/>
  <c r="I56" i="23" s="1"/>
  <c r="U55" i="17"/>
  <c r="I55" i="23" s="1"/>
  <c r="U54" i="17"/>
  <c r="I54" i="23" s="1"/>
  <c r="U53" i="17"/>
  <c r="I53" i="23" s="1"/>
  <c r="U52" i="17"/>
  <c r="I52" i="23" s="1"/>
  <c r="U51" i="17"/>
  <c r="I51" i="23" s="1"/>
  <c r="U50" i="17"/>
  <c r="I50" i="23" s="1"/>
  <c r="U49" i="17"/>
  <c r="I49" i="23" s="1"/>
  <c r="U48" i="17"/>
  <c r="I48" i="23" s="1"/>
  <c r="U47" i="17"/>
  <c r="I47" i="23" s="1"/>
  <c r="U46" i="17"/>
  <c r="I46" i="23" s="1"/>
  <c r="U45" i="17"/>
  <c r="I45" i="23" s="1"/>
  <c r="U44" i="17"/>
  <c r="I44" i="23" s="1"/>
  <c r="U43" i="17"/>
  <c r="I43" i="23" s="1"/>
  <c r="U42" i="17"/>
  <c r="I42" i="23" s="1"/>
  <c r="U41" i="17"/>
  <c r="I41" i="23" s="1"/>
  <c r="U40" i="17"/>
  <c r="I40" i="23" s="1"/>
  <c r="U39" i="17"/>
  <c r="I39" i="23" s="1"/>
  <c r="U37" i="17"/>
  <c r="I37" i="23" s="1"/>
  <c r="U36" i="17"/>
  <c r="I36" i="23" s="1"/>
  <c r="U35" i="17"/>
  <c r="I35" i="23" s="1"/>
  <c r="U34" i="17"/>
  <c r="I34" i="23" s="1"/>
  <c r="U33" i="17"/>
  <c r="I33" i="23" s="1"/>
  <c r="U32" i="17"/>
  <c r="I32" i="23" s="1"/>
  <c r="U31" i="17"/>
  <c r="I31" i="23" s="1"/>
  <c r="U30" i="17"/>
  <c r="I30" i="23" s="1"/>
  <c r="U29" i="17"/>
  <c r="I29" i="23" s="1"/>
  <c r="U28" i="17"/>
  <c r="I28" i="23" s="1"/>
  <c r="U27" i="17"/>
  <c r="I27" i="23" s="1"/>
  <c r="U26" i="17"/>
  <c r="I26" i="23" s="1"/>
  <c r="U25" i="17"/>
  <c r="I25" i="23" s="1"/>
  <c r="U24" i="17"/>
  <c r="I24" i="23" s="1"/>
  <c r="U23" i="17"/>
  <c r="I23" i="23" s="1"/>
  <c r="U22" i="17"/>
  <c r="I22" i="23" s="1"/>
  <c r="U21" i="17"/>
  <c r="I21" i="23" s="1"/>
  <c r="U20" i="17"/>
  <c r="I20" i="23" s="1"/>
  <c r="U19" i="17"/>
  <c r="I19" i="23" s="1"/>
  <c r="U18" i="17"/>
  <c r="I18" i="23" s="1"/>
  <c r="U17" i="17"/>
  <c r="I17" i="23" s="1"/>
  <c r="U16" i="17"/>
  <c r="I16" i="23" s="1"/>
  <c r="U15" i="17"/>
  <c r="I15" i="23" s="1"/>
  <c r="U14" i="17"/>
  <c r="I14" i="23" s="1"/>
  <c r="U13" i="17"/>
  <c r="I13" i="23" s="1"/>
  <c r="U12" i="17"/>
  <c r="I12" i="23" s="1"/>
  <c r="U11" i="17"/>
  <c r="I11" i="23" s="1"/>
  <c r="U10" i="17"/>
  <c r="I10" i="23" s="1"/>
  <c r="U9" i="17"/>
  <c r="I9" i="23" s="1"/>
  <c r="U8" i="17"/>
  <c r="I8" i="23" s="1"/>
  <c r="U7" i="17"/>
  <c r="I7" i="23" s="1"/>
  <c r="U6" i="17"/>
  <c r="I6" i="23" s="1"/>
  <c r="U5" i="17"/>
  <c r="I5" i="23" s="1"/>
  <c r="Z97" i="17" l="1"/>
  <c r="M97" i="23" s="1"/>
  <c r="Y97" i="17"/>
  <c r="L97" i="23" s="1"/>
  <c r="Z96" i="17"/>
  <c r="M96" i="23" s="1"/>
  <c r="Y96" i="17"/>
  <c r="L96" i="23" s="1"/>
  <c r="Z94" i="17"/>
  <c r="M94" i="23" s="1"/>
  <c r="Y94" i="17"/>
  <c r="L94" i="23" s="1"/>
  <c r="Z78" i="17"/>
  <c r="M78" i="23" s="1"/>
  <c r="Y78" i="17"/>
  <c r="L78" i="23" s="1"/>
  <c r="Z77" i="17"/>
  <c r="M77" i="23" s="1"/>
  <c r="Y77" i="17"/>
  <c r="L77" i="23" s="1"/>
  <c r="Z71" i="17"/>
  <c r="M71" i="23" s="1"/>
  <c r="Y71" i="17"/>
  <c r="L71" i="23" s="1"/>
  <c r="Z64" i="17"/>
  <c r="M64" i="23" s="1"/>
  <c r="Y64" i="17"/>
  <c r="L64" i="23" s="1"/>
  <c r="Z58" i="17"/>
  <c r="M58" i="23" s="1"/>
  <c r="Y58" i="17"/>
  <c r="L58" i="23" s="1"/>
  <c r="AE141" i="17"/>
  <c r="Q141" i="23" s="1"/>
  <c r="AD141" i="17"/>
  <c r="AE140" i="17"/>
  <c r="Q140" i="23" s="1"/>
  <c r="AD140" i="17"/>
  <c r="AE139" i="17"/>
  <c r="Q139" i="23" s="1"/>
  <c r="AD139" i="17"/>
  <c r="AE138" i="17"/>
  <c r="Q138" i="23" s="1"/>
  <c r="AD138" i="17"/>
  <c r="AE137" i="17"/>
  <c r="Q137" i="23" s="1"/>
  <c r="AD137" i="17"/>
  <c r="AE136" i="17"/>
  <c r="Q136" i="23" s="1"/>
  <c r="AD136" i="17"/>
  <c r="AE135" i="17"/>
  <c r="Q135" i="23" s="1"/>
  <c r="AD135" i="17"/>
  <c r="AE134" i="17"/>
  <c r="Q134" i="23" s="1"/>
  <c r="AD134" i="17"/>
  <c r="AE133" i="17"/>
  <c r="Q133" i="23" s="1"/>
  <c r="AD133" i="17"/>
  <c r="AE132" i="17"/>
  <c r="Q132" i="23" s="1"/>
  <c r="AD132" i="17"/>
  <c r="AE131" i="17"/>
  <c r="Q131" i="23" s="1"/>
  <c r="AD131" i="17"/>
  <c r="AE130" i="17"/>
  <c r="Q130" i="23" s="1"/>
  <c r="AD130" i="17"/>
  <c r="AE129" i="17"/>
  <c r="Q129" i="23" s="1"/>
  <c r="AD129" i="17"/>
  <c r="AE128" i="17"/>
  <c r="Q128" i="23" s="1"/>
  <c r="AD128" i="17"/>
  <c r="AE127" i="17"/>
  <c r="Q127" i="23" s="1"/>
  <c r="AD127" i="17"/>
  <c r="AE126" i="17"/>
  <c r="Q126" i="23" s="1"/>
  <c r="AD126" i="17"/>
  <c r="AE125" i="17"/>
  <c r="Q125" i="23" s="1"/>
  <c r="AD125" i="17"/>
  <c r="AE124" i="17"/>
  <c r="Q124" i="23" s="1"/>
  <c r="AD124" i="17"/>
  <c r="AE123" i="17"/>
  <c r="Q123" i="23" s="1"/>
  <c r="AD123" i="17"/>
  <c r="AE122" i="17"/>
  <c r="Q122" i="23" s="1"/>
  <c r="AD122" i="17"/>
  <c r="AE121" i="17"/>
  <c r="Q121" i="23" s="1"/>
  <c r="AD121" i="17"/>
  <c r="AE120" i="17"/>
  <c r="Q120" i="23" s="1"/>
  <c r="AD120" i="17"/>
  <c r="AE119" i="17"/>
  <c r="Q119" i="23" s="1"/>
  <c r="AD119" i="17"/>
  <c r="AE118" i="17"/>
  <c r="Q118" i="23" s="1"/>
  <c r="AD118" i="17"/>
  <c r="AE117" i="17"/>
  <c r="Q117" i="23" s="1"/>
  <c r="AD117" i="17"/>
  <c r="AE116" i="17"/>
  <c r="Q116" i="23" s="1"/>
  <c r="AD116" i="17"/>
  <c r="AE115" i="17"/>
  <c r="Q115" i="23" s="1"/>
  <c r="AD115" i="17"/>
  <c r="AE114" i="17"/>
  <c r="Q114" i="23" s="1"/>
  <c r="AD114" i="17"/>
  <c r="AE113" i="17"/>
  <c r="Q113" i="23" s="1"/>
  <c r="AD113" i="17"/>
  <c r="AE112" i="17"/>
  <c r="Q112" i="23" s="1"/>
  <c r="AD112" i="17"/>
  <c r="AE111" i="17"/>
  <c r="Q111" i="23" s="1"/>
  <c r="AD111" i="17"/>
  <c r="AE110" i="17"/>
  <c r="Q110" i="23" s="1"/>
  <c r="AD110" i="17"/>
  <c r="AE109" i="17"/>
  <c r="Q109" i="23" s="1"/>
  <c r="AD109" i="17"/>
  <c r="AE108" i="17"/>
  <c r="Q108" i="23" s="1"/>
  <c r="AD108" i="17"/>
  <c r="AE107" i="17"/>
  <c r="Q107" i="23" s="1"/>
  <c r="AD107" i="17"/>
  <c r="AE106" i="17"/>
  <c r="Q106" i="23" s="1"/>
  <c r="AD106" i="17"/>
  <c r="AE105" i="17"/>
  <c r="Q105" i="23" s="1"/>
  <c r="AD105" i="17"/>
  <c r="AE104" i="17"/>
  <c r="Q104" i="23" s="1"/>
  <c r="AD104" i="17"/>
  <c r="AE103" i="17"/>
  <c r="Q103" i="23" s="1"/>
  <c r="AD103" i="17"/>
  <c r="AE102" i="17"/>
  <c r="Q102" i="23" s="1"/>
  <c r="AD102" i="17"/>
  <c r="AE101" i="17"/>
  <c r="Q101" i="23" s="1"/>
  <c r="AD101" i="17"/>
  <c r="AE100" i="17"/>
  <c r="Q100" i="23" s="1"/>
  <c r="AD100" i="17"/>
  <c r="AE99" i="17"/>
  <c r="Q99" i="23" s="1"/>
  <c r="AD99" i="17"/>
  <c r="AE98" i="17"/>
  <c r="Q98" i="23" s="1"/>
  <c r="AD98" i="17"/>
  <c r="AE97" i="17"/>
  <c r="Q97" i="23" s="1"/>
  <c r="AD97" i="17"/>
  <c r="AE96" i="17"/>
  <c r="Q96" i="23" s="1"/>
  <c r="AD96" i="17"/>
  <c r="AE95" i="17"/>
  <c r="Q95" i="23" s="1"/>
  <c r="AD95" i="17"/>
  <c r="AE94" i="17"/>
  <c r="Q94" i="23" s="1"/>
  <c r="AD94" i="17"/>
  <c r="AE93" i="17"/>
  <c r="Q93" i="23" s="1"/>
  <c r="AD93" i="17"/>
  <c r="AE92" i="17"/>
  <c r="Q92" i="23" s="1"/>
  <c r="AD92" i="17"/>
  <c r="AE91" i="17"/>
  <c r="Q91" i="23" s="1"/>
  <c r="AD91" i="17"/>
  <c r="AE90" i="17"/>
  <c r="Q90" i="23" s="1"/>
  <c r="AD90" i="17"/>
  <c r="AE89" i="17"/>
  <c r="Q89" i="23" s="1"/>
  <c r="AD89" i="17"/>
  <c r="AE88" i="17"/>
  <c r="Q88" i="23" s="1"/>
  <c r="AD88" i="17"/>
  <c r="AE87" i="17"/>
  <c r="Q87" i="23" s="1"/>
  <c r="AD87" i="17"/>
  <c r="AE86" i="17"/>
  <c r="Q86" i="23" s="1"/>
  <c r="AD86" i="17"/>
  <c r="AE85" i="17"/>
  <c r="Q85" i="23" s="1"/>
  <c r="AD85" i="17"/>
  <c r="AE84" i="17"/>
  <c r="Q84" i="23" s="1"/>
  <c r="AD84" i="17"/>
  <c r="AE83" i="17"/>
  <c r="Q83" i="23" s="1"/>
  <c r="AD83" i="17"/>
  <c r="AE82" i="17"/>
  <c r="Q82" i="23" s="1"/>
  <c r="AD82" i="17"/>
  <c r="AE81" i="17"/>
  <c r="Q81" i="23" s="1"/>
  <c r="AD81" i="17"/>
  <c r="AE80" i="17"/>
  <c r="Q80" i="23" s="1"/>
  <c r="AD80" i="17"/>
  <c r="AE79" i="17"/>
  <c r="Q79" i="23" s="1"/>
  <c r="AD79" i="17"/>
  <c r="AE78" i="17"/>
  <c r="Q78" i="23" s="1"/>
  <c r="AD78" i="17"/>
  <c r="AE77" i="17"/>
  <c r="Q77" i="23" s="1"/>
  <c r="AD77" i="17"/>
  <c r="AE76" i="17"/>
  <c r="Q76" i="23" s="1"/>
  <c r="AD76" i="17"/>
  <c r="AE75" i="17"/>
  <c r="Q75" i="23" s="1"/>
  <c r="AD75" i="17"/>
  <c r="AE74" i="17"/>
  <c r="Q74" i="23" s="1"/>
  <c r="AD74" i="17"/>
  <c r="AE73" i="17"/>
  <c r="Q73" i="23" s="1"/>
  <c r="AD73" i="17"/>
  <c r="AE72" i="17"/>
  <c r="Q72" i="23" s="1"/>
  <c r="AD72" i="17"/>
  <c r="AE71" i="17"/>
  <c r="Q71" i="23" s="1"/>
  <c r="AD71" i="17"/>
  <c r="AE70" i="17"/>
  <c r="Q70" i="23" s="1"/>
  <c r="AD70" i="17"/>
  <c r="AE69" i="17"/>
  <c r="Q69" i="23" s="1"/>
  <c r="AD69" i="17"/>
  <c r="AE68" i="17"/>
  <c r="Q68" i="23" s="1"/>
  <c r="AD68" i="17"/>
  <c r="AE67" i="17"/>
  <c r="Q67" i="23" s="1"/>
  <c r="AD67" i="17"/>
  <c r="AE66" i="17"/>
  <c r="Q66" i="23" s="1"/>
  <c r="AD66" i="17"/>
  <c r="AE65" i="17"/>
  <c r="Q65" i="23" s="1"/>
  <c r="AD65" i="17"/>
  <c r="AE64" i="17"/>
  <c r="Q64" i="23" s="1"/>
  <c r="AD64" i="17"/>
  <c r="AE63" i="17"/>
  <c r="Q63" i="23" s="1"/>
  <c r="AD63" i="17"/>
  <c r="AE62" i="17"/>
  <c r="Q62" i="23" s="1"/>
  <c r="AD62" i="17"/>
  <c r="AE61" i="17"/>
  <c r="Q61" i="23" s="1"/>
  <c r="AD61" i="17"/>
  <c r="AE60" i="17"/>
  <c r="Q60" i="23" s="1"/>
  <c r="AD60" i="17"/>
  <c r="AE59" i="17"/>
  <c r="Q59" i="23" s="1"/>
  <c r="AD59" i="17"/>
  <c r="AE58" i="17"/>
  <c r="Q58" i="23" s="1"/>
  <c r="AD58" i="17"/>
  <c r="AE57" i="17"/>
  <c r="Q57" i="23" s="1"/>
  <c r="AD57" i="17"/>
  <c r="AE56" i="17"/>
  <c r="Q56" i="23" s="1"/>
  <c r="AD56" i="17"/>
  <c r="AE55" i="17"/>
  <c r="Q55" i="23" s="1"/>
  <c r="AD55" i="17"/>
  <c r="AE54" i="17"/>
  <c r="Q54" i="23" s="1"/>
  <c r="AD54" i="17"/>
  <c r="AE53" i="17"/>
  <c r="Q53" i="23" s="1"/>
  <c r="AD53" i="17"/>
  <c r="AE52" i="17"/>
  <c r="Q52" i="23" s="1"/>
  <c r="AD52" i="17"/>
  <c r="AE51" i="17"/>
  <c r="Q51" i="23" s="1"/>
  <c r="AD51" i="17"/>
  <c r="AE50" i="17"/>
  <c r="Q50" i="23" s="1"/>
  <c r="AD50" i="17"/>
  <c r="AE49" i="17"/>
  <c r="Q49" i="23" s="1"/>
  <c r="AD49" i="17"/>
  <c r="AE48" i="17"/>
  <c r="Q48" i="23" s="1"/>
  <c r="AD48" i="17"/>
  <c r="AE47" i="17"/>
  <c r="Q47" i="23" s="1"/>
  <c r="AD47" i="17"/>
  <c r="AE46" i="17"/>
  <c r="Q46" i="23" s="1"/>
  <c r="AD46" i="17"/>
  <c r="AE45" i="17"/>
  <c r="Q45" i="23" s="1"/>
  <c r="AD45" i="17"/>
  <c r="AE44" i="17"/>
  <c r="Q44" i="23" s="1"/>
  <c r="AD44" i="17"/>
  <c r="AE43" i="17"/>
  <c r="Q43" i="23" s="1"/>
  <c r="AD43" i="17"/>
  <c r="AE42" i="17"/>
  <c r="Q42" i="23" s="1"/>
  <c r="AD42" i="17"/>
  <c r="AE41" i="17"/>
  <c r="Q41" i="23" s="1"/>
  <c r="AD41" i="17"/>
  <c r="AE40" i="17"/>
  <c r="Q40" i="23" s="1"/>
  <c r="AD40" i="17"/>
  <c r="AE39" i="17"/>
  <c r="Q39" i="23" s="1"/>
  <c r="AD39" i="17"/>
  <c r="AD28" i="17"/>
  <c r="AE26" i="17"/>
  <c r="Q26" i="23" s="1"/>
  <c r="AD26" i="17"/>
  <c r="AE25" i="17"/>
  <c r="Q25" i="23" s="1"/>
  <c r="AD25" i="17"/>
  <c r="AE24" i="17"/>
  <c r="Q24" i="23" s="1"/>
  <c r="AD24" i="17"/>
  <c r="AE23" i="17"/>
  <c r="Q23" i="23" s="1"/>
  <c r="AD23" i="17"/>
  <c r="AE22" i="17"/>
  <c r="Q22" i="23" s="1"/>
  <c r="AD22" i="17"/>
  <c r="AE21" i="17"/>
  <c r="Q21" i="23" s="1"/>
  <c r="AD21" i="17"/>
  <c r="AE20" i="17"/>
  <c r="Q20" i="23" s="1"/>
  <c r="AD20" i="17"/>
  <c r="AE19" i="17"/>
  <c r="Q19" i="23" s="1"/>
  <c r="AD19" i="17"/>
  <c r="AE18" i="17"/>
  <c r="Q18" i="23" s="1"/>
  <c r="AD18" i="17"/>
  <c r="AE17" i="17"/>
  <c r="Q17" i="23" s="1"/>
  <c r="AD17" i="17"/>
  <c r="AE16" i="17"/>
  <c r="Q16" i="23" s="1"/>
  <c r="AD16" i="17"/>
  <c r="AE15" i="17"/>
  <c r="Q15" i="23" s="1"/>
  <c r="AD15" i="17"/>
  <c r="AE14" i="17"/>
  <c r="Q14" i="23" s="1"/>
  <c r="AD14" i="17"/>
  <c r="AE13" i="17"/>
  <c r="Q13" i="23" s="1"/>
  <c r="AD13" i="17"/>
  <c r="AE12" i="17"/>
  <c r="Q12" i="23" s="1"/>
  <c r="AD12" i="17"/>
  <c r="AE11" i="17"/>
  <c r="Q11" i="23" s="1"/>
  <c r="AD11" i="17"/>
  <c r="AE10" i="17"/>
  <c r="Q10" i="23" s="1"/>
  <c r="AD10" i="17"/>
  <c r="AE9" i="17"/>
  <c r="Q9" i="23" s="1"/>
  <c r="AD9" i="17"/>
  <c r="AE8" i="17"/>
  <c r="Q8" i="23" s="1"/>
  <c r="AD8" i="17"/>
  <c r="AE7" i="17"/>
  <c r="Q7" i="23" s="1"/>
  <c r="AD7" i="17"/>
  <c r="AE6" i="17"/>
  <c r="Q6" i="23" s="1"/>
  <c r="AD6" i="17"/>
  <c r="AE5" i="17"/>
  <c r="Q5" i="23" s="1"/>
  <c r="AD5" i="17"/>
  <c r="AE37" i="17"/>
  <c r="Q37" i="23" s="1"/>
  <c r="AE36" i="17"/>
  <c r="Q36" i="23" s="1"/>
  <c r="AE35" i="17"/>
  <c r="Q35" i="23" s="1"/>
  <c r="AE34" i="17"/>
  <c r="Q34" i="23" s="1"/>
  <c r="AE33" i="17"/>
  <c r="Q33" i="23" s="1"/>
  <c r="AE32" i="17"/>
  <c r="Q32" i="23" s="1"/>
  <c r="AE31" i="17"/>
  <c r="Q31" i="23" s="1"/>
  <c r="AE30" i="17"/>
  <c r="Q30" i="23" s="1"/>
  <c r="AE29" i="17"/>
  <c r="Q29" i="23" s="1"/>
  <c r="AE28" i="17"/>
  <c r="Q28" i="23" s="1"/>
  <c r="AE27" i="17"/>
  <c r="Q27" i="23" s="1"/>
  <c r="AD32" i="17" l="1"/>
  <c r="AD34" i="17"/>
  <c r="AD30" i="17"/>
  <c r="AD36" i="17"/>
  <c r="AD27" i="17"/>
  <c r="AD29" i="17"/>
  <c r="AD31" i="17"/>
  <c r="AD33" i="17"/>
  <c r="AD35" i="17"/>
  <c r="AD37" i="17"/>
  <c r="B75" i="20"/>
  <c r="B49" i="20"/>
  <c r="B136" i="20" l="1"/>
  <c r="B135" i="20"/>
  <c r="B132" i="20"/>
  <c r="B128" i="20"/>
  <c r="B126" i="20"/>
  <c r="B125" i="20"/>
  <c r="B124" i="20"/>
  <c r="B123" i="20"/>
  <c r="B121" i="20"/>
  <c r="B116" i="20"/>
  <c r="B115" i="20"/>
  <c r="B114" i="20"/>
  <c r="B105" i="20"/>
  <c r="B104" i="20"/>
  <c r="B103" i="20"/>
  <c r="B102" i="20"/>
  <c r="B101" i="20"/>
  <c r="B100" i="20"/>
  <c r="B99" i="20"/>
  <c r="B98" i="20"/>
  <c r="B97" i="20"/>
  <c r="B96" i="20"/>
  <c r="B95" i="20"/>
  <c r="B94" i="20"/>
  <c r="B93" i="20"/>
  <c r="B92" i="20"/>
  <c r="B91" i="20"/>
  <c r="B90" i="20"/>
  <c r="B89" i="20"/>
  <c r="B88" i="20"/>
  <c r="B87" i="20"/>
  <c r="B86" i="20"/>
  <c r="B84" i="20"/>
  <c r="B83" i="20"/>
  <c r="B82" i="20"/>
  <c r="B81" i="20"/>
  <c r="B76" i="20"/>
  <c r="B74" i="20"/>
  <c r="B73" i="20"/>
  <c r="B72" i="20"/>
  <c r="B71" i="20"/>
  <c r="B70" i="20"/>
  <c r="B69" i="20"/>
  <c r="B68" i="20"/>
  <c r="B67" i="20"/>
  <c r="B66" i="20"/>
  <c r="B62" i="20"/>
  <c r="B61" i="20"/>
  <c r="B60" i="20"/>
  <c r="B59" i="20"/>
  <c r="B58" i="20"/>
  <c r="B57" i="20"/>
  <c r="B56" i="20"/>
  <c r="B55" i="20"/>
  <c r="B54" i="20"/>
  <c r="B53" i="20"/>
  <c r="B52" i="20"/>
  <c r="B51" i="20"/>
  <c r="B50" i="20"/>
  <c r="B48" i="20"/>
  <c r="B47" i="20"/>
  <c r="B45" i="20"/>
  <c r="B44" i="20"/>
  <c r="B43" i="20"/>
  <c r="B42" i="20"/>
  <c r="B41" i="20"/>
  <c r="B40" i="20"/>
  <c r="B39" i="20"/>
  <c r="B38" i="20"/>
  <c r="B37" i="20"/>
  <c r="B36" i="20"/>
  <c r="B35" i="20"/>
  <c r="B34" i="20"/>
  <c r="B2" i="20"/>
  <c r="B3" i="20"/>
  <c r="B4" i="20"/>
  <c r="B5" i="20"/>
  <c r="B6" i="20"/>
  <c r="B7" i="20"/>
  <c r="B8" i="20"/>
  <c r="B9" i="20"/>
  <c r="B10" i="20"/>
  <c r="B11" i="20"/>
  <c r="B12" i="20"/>
  <c r="B13" i="20"/>
  <c r="B14" i="20"/>
  <c r="B15" i="20"/>
  <c r="B16" i="20"/>
  <c r="B17" i="20"/>
  <c r="B18" i="20"/>
  <c r="B19" i="20"/>
  <c r="B20" i="20"/>
  <c r="B21" i="20"/>
  <c r="B22" i="20"/>
  <c r="B23" i="20"/>
  <c r="B24" i="20"/>
  <c r="B25" i="20"/>
  <c r="B26" i="20"/>
  <c r="B27" i="20"/>
  <c r="B28" i="20"/>
  <c r="B29" i="20"/>
  <c r="B30" i="20"/>
  <c r="B31" i="20"/>
  <c r="B32" i="20"/>
  <c r="B33" i="20"/>
  <c r="I38" i="4"/>
  <c r="J38" i="4"/>
  <c r="H38" i="4"/>
  <c r="F38" i="4"/>
  <c r="E38" i="4"/>
  <c r="D38" i="4"/>
  <c r="C38" i="4"/>
  <c r="B38" i="4"/>
  <c r="G38" i="4"/>
  <c r="H50" i="17" l="1"/>
  <c r="C50" i="23" s="1"/>
  <c r="F50" i="17"/>
  <c r="H49" i="17"/>
  <c r="C49" i="23" s="1"/>
  <c r="F49" i="17"/>
  <c r="H48" i="17"/>
  <c r="C48" i="23" s="1"/>
  <c r="F48" i="17"/>
  <c r="H47" i="17"/>
  <c r="C47" i="23" s="1"/>
  <c r="F47" i="17"/>
  <c r="H46" i="17"/>
  <c r="C46" i="23" s="1"/>
  <c r="F46" i="17"/>
  <c r="H45" i="17"/>
  <c r="C45" i="23" s="1"/>
  <c r="F45" i="17"/>
  <c r="H44" i="17"/>
  <c r="C44" i="23" s="1"/>
  <c r="F44" i="17"/>
  <c r="H43" i="17"/>
  <c r="C43" i="23" s="1"/>
  <c r="F43" i="17"/>
  <c r="H42" i="17"/>
  <c r="C42" i="23" s="1"/>
  <c r="F42" i="17"/>
  <c r="H41" i="17"/>
  <c r="C41" i="23" s="1"/>
  <c r="F41" i="17"/>
  <c r="H40" i="17"/>
  <c r="C40" i="23" s="1"/>
  <c r="F40" i="17"/>
  <c r="G133" i="20" l="1"/>
  <c r="B133" i="20" s="1"/>
  <c r="G127" i="20"/>
  <c r="B127" i="20" s="1"/>
  <c r="G122" i="20"/>
  <c r="B122" i="20" s="1"/>
  <c r="G106" i="20"/>
  <c r="G85" i="20"/>
  <c r="B85" i="20" s="1"/>
  <c r="G77" i="20"/>
  <c r="B77" i="20" s="1"/>
  <c r="G63" i="20"/>
  <c r="B63" i="20" s="1"/>
  <c r="G46" i="20"/>
  <c r="B46" i="20" s="1"/>
  <c r="H68" i="17" l="1"/>
  <c r="C68" i="23" s="1"/>
  <c r="F68" i="17"/>
  <c r="H67" i="17"/>
  <c r="C67" i="23" s="1"/>
  <c r="F67" i="17"/>
  <c r="H66" i="17"/>
  <c r="C66" i="23" s="1"/>
  <c r="F66" i="17"/>
  <c r="H65" i="17"/>
  <c r="C65" i="23" s="1"/>
  <c r="F65" i="17"/>
  <c r="H64" i="17"/>
  <c r="C64" i="23" s="1"/>
  <c r="F64" i="17"/>
  <c r="H63" i="17"/>
  <c r="C63" i="23" s="1"/>
  <c r="F63" i="17"/>
  <c r="H62" i="17"/>
  <c r="C62" i="23" s="1"/>
  <c r="F62" i="17"/>
  <c r="H61" i="17"/>
  <c r="C61" i="23" s="1"/>
  <c r="F61" i="17"/>
  <c r="H60" i="17"/>
  <c r="C60" i="23" s="1"/>
  <c r="F60" i="17"/>
  <c r="H59" i="17"/>
  <c r="C59" i="23" s="1"/>
  <c r="F59" i="17"/>
  <c r="H58" i="17"/>
  <c r="C58" i="23" s="1"/>
  <c r="F58" i="17"/>
  <c r="H57" i="17"/>
  <c r="C57" i="23" s="1"/>
  <c r="F57" i="17"/>
  <c r="H56" i="17"/>
  <c r="C56" i="23" s="1"/>
  <c r="F56" i="17"/>
  <c r="H55" i="17"/>
  <c r="C55" i="23" s="1"/>
  <c r="F55" i="17"/>
  <c r="H54" i="17"/>
  <c r="C54" i="23" s="1"/>
  <c r="F54" i="17"/>
  <c r="H53" i="17"/>
  <c r="C53" i="23" s="1"/>
  <c r="F53" i="17"/>
  <c r="H52" i="17"/>
  <c r="C52" i="23" s="1"/>
  <c r="F52" i="17"/>
  <c r="H51" i="17"/>
  <c r="C51" i="23" s="1"/>
  <c r="F51" i="17"/>
  <c r="B106" i="20"/>
  <c r="G107" i="20"/>
  <c r="G108" i="20" s="1"/>
  <c r="G109" i="20" s="1"/>
  <c r="G110" i="20" s="1"/>
  <c r="G111" i="20" s="1"/>
  <c r="G112" i="20" s="1"/>
  <c r="G113" i="20" s="1"/>
  <c r="F6" i="17"/>
  <c r="F19" i="17"/>
  <c r="F14" i="17"/>
  <c r="F22" i="17"/>
  <c r="F26" i="17"/>
  <c r="F34" i="17"/>
  <c r="F7" i="17"/>
  <c r="F11" i="17"/>
  <c r="F15" i="17"/>
  <c r="F23" i="17"/>
  <c r="F27" i="17"/>
  <c r="F31" i="17"/>
  <c r="F35" i="17"/>
  <c r="H36" i="17"/>
  <c r="C36" i="23" s="1"/>
  <c r="H34" i="17"/>
  <c r="C34" i="23" s="1"/>
  <c r="H32" i="17"/>
  <c r="C32" i="23" s="1"/>
  <c r="H30" i="17"/>
  <c r="C30" i="23" s="1"/>
  <c r="H28" i="17"/>
  <c r="C28" i="23" s="1"/>
  <c r="H26" i="17"/>
  <c r="C26" i="23" s="1"/>
  <c r="H24" i="17"/>
  <c r="C24" i="23" s="1"/>
  <c r="H22" i="17"/>
  <c r="C22" i="23" s="1"/>
  <c r="H37" i="17"/>
  <c r="C37" i="23" s="1"/>
  <c r="H35" i="17"/>
  <c r="C35" i="23" s="1"/>
  <c r="H33" i="17"/>
  <c r="C33" i="23" s="1"/>
  <c r="H31" i="17"/>
  <c r="C31" i="23" s="1"/>
  <c r="H29" i="17"/>
  <c r="C29" i="23" s="1"/>
  <c r="H27" i="17"/>
  <c r="C27" i="23" s="1"/>
  <c r="H25" i="17"/>
  <c r="C25" i="23" s="1"/>
  <c r="H23" i="17"/>
  <c r="C23" i="23" s="1"/>
  <c r="H21" i="17"/>
  <c r="C21" i="23" s="1"/>
  <c r="H18" i="17"/>
  <c r="C18" i="23" s="1"/>
  <c r="H14" i="17"/>
  <c r="C14" i="23" s="1"/>
  <c r="H10" i="17"/>
  <c r="C10" i="23" s="1"/>
  <c r="H6" i="17"/>
  <c r="C6" i="23" s="1"/>
  <c r="H19" i="17"/>
  <c r="C19" i="23" s="1"/>
  <c r="H15" i="17"/>
  <c r="C15" i="23" s="1"/>
  <c r="H11" i="17"/>
  <c r="C11" i="23" s="1"/>
  <c r="H7" i="17"/>
  <c r="C7" i="23" s="1"/>
  <c r="H20" i="17"/>
  <c r="C20" i="23" s="1"/>
  <c r="H16" i="17"/>
  <c r="C16" i="23" s="1"/>
  <c r="H12" i="17"/>
  <c r="C12" i="23" s="1"/>
  <c r="H8" i="17"/>
  <c r="C8" i="23" s="1"/>
  <c r="H17" i="17"/>
  <c r="C17" i="23" s="1"/>
  <c r="H13" i="17"/>
  <c r="C13" i="23" s="1"/>
  <c r="H9" i="17"/>
  <c r="C9" i="23" s="1"/>
  <c r="F8" i="17"/>
  <c r="F12" i="17"/>
  <c r="F16" i="17"/>
  <c r="F20" i="17"/>
  <c r="F24" i="17"/>
  <c r="F28" i="17"/>
  <c r="F32" i="17"/>
  <c r="F36" i="17"/>
  <c r="F10" i="17"/>
  <c r="F18" i="17"/>
  <c r="F30" i="17"/>
  <c r="F5" i="17"/>
  <c r="F9" i="17"/>
  <c r="F13" i="17"/>
  <c r="F17" i="17"/>
  <c r="F21" i="17"/>
  <c r="F25" i="17"/>
  <c r="F29" i="17"/>
  <c r="F33" i="17"/>
  <c r="F37" i="17"/>
  <c r="H5" i="17"/>
  <c r="C5" i="23" s="1"/>
  <c r="G134" i="20"/>
  <c r="B134" i="20" s="1"/>
  <c r="G78" i="20"/>
  <c r="B78" i="20" s="1"/>
  <c r="G64" i="20"/>
  <c r="G129" i="20"/>
  <c r="B129" i="20" s="1"/>
  <c r="G65" i="20" l="1"/>
  <c r="B65" i="20" s="1"/>
  <c r="B64" i="20"/>
  <c r="G79" i="20"/>
  <c r="B79" i="20" s="1"/>
  <c r="G130" i="20"/>
  <c r="B130" i="20" s="1"/>
  <c r="B107" i="20"/>
  <c r="U127" i="18"/>
  <c r="T127" i="18"/>
  <c r="S127" i="18"/>
  <c r="F127" i="18"/>
  <c r="E127" i="18"/>
  <c r="D127" i="18"/>
  <c r="C127" i="18"/>
  <c r="U104" i="18"/>
  <c r="T104" i="18"/>
  <c r="S104" i="18"/>
  <c r="F104" i="18"/>
  <c r="E104" i="18"/>
  <c r="D104" i="18"/>
  <c r="C104" i="18"/>
  <c r="U90" i="18"/>
  <c r="T90" i="18"/>
  <c r="U120" i="18"/>
  <c r="T120" i="18"/>
  <c r="S120" i="18"/>
  <c r="F120" i="18"/>
  <c r="E120" i="18"/>
  <c r="D120" i="18"/>
  <c r="C120" i="18"/>
  <c r="U119" i="18"/>
  <c r="T119" i="18"/>
  <c r="S119" i="18"/>
  <c r="F119" i="18"/>
  <c r="E119" i="18"/>
  <c r="D119" i="18"/>
  <c r="C119" i="18"/>
  <c r="U101" i="18"/>
  <c r="T101" i="18"/>
  <c r="S101" i="18"/>
  <c r="F101" i="18"/>
  <c r="E101" i="18"/>
  <c r="D101" i="18"/>
  <c r="C101" i="18"/>
  <c r="U132" i="18"/>
  <c r="T132" i="18"/>
  <c r="S132" i="18"/>
  <c r="F132" i="18"/>
  <c r="E132" i="18"/>
  <c r="D132" i="18"/>
  <c r="C132" i="18"/>
  <c r="U89" i="18"/>
  <c r="T89" i="18"/>
  <c r="S89" i="18"/>
  <c r="F89" i="18"/>
  <c r="E89" i="18"/>
  <c r="D89" i="18"/>
  <c r="C89" i="18"/>
  <c r="U88" i="18"/>
  <c r="T88" i="18"/>
  <c r="U128" i="18"/>
  <c r="T128" i="18"/>
  <c r="S128" i="18"/>
  <c r="F128" i="18"/>
  <c r="E128" i="18"/>
  <c r="D128" i="18"/>
  <c r="C128" i="18"/>
  <c r="U135" i="18"/>
  <c r="T135" i="18"/>
  <c r="S135" i="18"/>
  <c r="F135" i="18"/>
  <c r="E135" i="18"/>
  <c r="D135" i="18"/>
  <c r="C135" i="18"/>
  <c r="U47" i="18"/>
  <c r="T47" i="18"/>
  <c r="S47" i="18"/>
  <c r="F47" i="18"/>
  <c r="E47" i="18"/>
  <c r="D47" i="18"/>
  <c r="C47" i="18"/>
  <c r="U40" i="18"/>
  <c r="T40" i="18"/>
  <c r="S40" i="18"/>
  <c r="F40" i="18"/>
  <c r="E40" i="18"/>
  <c r="D40" i="18"/>
  <c r="C40" i="18"/>
  <c r="U100" i="18"/>
  <c r="T100" i="18"/>
  <c r="S100" i="18"/>
  <c r="F100" i="18"/>
  <c r="E100" i="18"/>
  <c r="D100" i="18"/>
  <c r="C100" i="18"/>
  <c r="U74" i="18"/>
  <c r="T74" i="18"/>
  <c r="S74" i="18"/>
  <c r="F74" i="18"/>
  <c r="E74" i="18"/>
  <c r="D74" i="18"/>
  <c r="C74" i="18"/>
  <c r="U73" i="18"/>
  <c r="T73" i="18"/>
  <c r="S73" i="18"/>
  <c r="F73" i="18"/>
  <c r="E73" i="18"/>
  <c r="D73" i="18"/>
  <c r="C73" i="18"/>
  <c r="U81" i="18"/>
  <c r="T81" i="18"/>
  <c r="S81" i="18"/>
  <c r="F81" i="18"/>
  <c r="E81" i="18"/>
  <c r="D81" i="18"/>
  <c r="C81" i="18"/>
  <c r="U94" i="18"/>
  <c r="T94" i="18"/>
  <c r="S94" i="18"/>
  <c r="F94" i="18"/>
  <c r="E94" i="18"/>
  <c r="D94" i="18"/>
  <c r="C94" i="18"/>
  <c r="U134" i="18"/>
  <c r="T134" i="18"/>
  <c r="U63" i="18"/>
  <c r="T63" i="18"/>
  <c r="U66" i="18"/>
  <c r="T66" i="18"/>
  <c r="S66" i="18"/>
  <c r="F66" i="18"/>
  <c r="E66" i="18"/>
  <c r="D66" i="18"/>
  <c r="C66" i="18"/>
  <c r="U46" i="18"/>
  <c r="T46" i="18"/>
  <c r="S46" i="18"/>
  <c r="F46" i="18"/>
  <c r="E46" i="18"/>
  <c r="D46" i="18"/>
  <c r="C46" i="18"/>
  <c r="U45" i="18"/>
  <c r="T45" i="18"/>
  <c r="S45" i="18"/>
  <c r="F45" i="18"/>
  <c r="E45" i="18"/>
  <c r="D45" i="18"/>
  <c r="C45" i="18"/>
  <c r="U60" i="18"/>
  <c r="T60" i="18"/>
  <c r="S60" i="18"/>
  <c r="F60" i="18"/>
  <c r="E60" i="18"/>
  <c r="D60" i="18"/>
  <c r="C60" i="18"/>
  <c r="U58" i="18"/>
  <c r="T58" i="18"/>
  <c r="S58" i="18"/>
  <c r="F58" i="18"/>
  <c r="E58" i="18"/>
  <c r="D58" i="18"/>
  <c r="C58" i="18"/>
  <c r="U51" i="18"/>
  <c r="T51" i="18"/>
  <c r="S51" i="18"/>
  <c r="F51" i="18"/>
  <c r="E51" i="18"/>
  <c r="D51" i="18"/>
  <c r="C51" i="18"/>
  <c r="U79" i="18"/>
  <c r="T79" i="18"/>
  <c r="S79" i="18"/>
  <c r="F79" i="18"/>
  <c r="E79" i="18"/>
  <c r="D79" i="18"/>
  <c r="C79" i="18"/>
  <c r="U112" i="18"/>
  <c r="T112" i="18"/>
  <c r="S112" i="18"/>
  <c r="F112" i="18"/>
  <c r="E112" i="18"/>
  <c r="D112" i="18"/>
  <c r="C112" i="18"/>
  <c r="U122" i="18"/>
  <c r="T122" i="18"/>
  <c r="S122" i="18"/>
  <c r="F122" i="18"/>
  <c r="E122" i="18"/>
  <c r="D122" i="18"/>
  <c r="C122" i="18"/>
  <c r="U141" i="18"/>
  <c r="T141" i="18"/>
  <c r="S141" i="18"/>
  <c r="F141" i="18"/>
  <c r="E141" i="18"/>
  <c r="D141" i="18"/>
  <c r="C141" i="18"/>
  <c r="U109" i="18"/>
  <c r="T109" i="18"/>
  <c r="H84" i="17" l="1"/>
  <c r="C84" i="23" s="1"/>
  <c r="F84" i="17"/>
  <c r="H83" i="17"/>
  <c r="C83" i="23" s="1"/>
  <c r="F83" i="17"/>
  <c r="H82" i="17"/>
  <c r="C82" i="23" s="1"/>
  <c r="F82" i="17"/>
  <c r="H81" i="17"/>
  <c r="C81" i="23" s="1"/>
  <c r="F81" i="17"/>
  <c r="H80" i="17"/>
  <c r="C80" i="23" s="1"/>
  <c r="F80" i="17"/>
  <c r="H79" i="17"/>
  <c r="C79" i="23" s="1"/>
  <c r="F79" i="17"/>
  <c r="H78" i="17"/>
  <c r="C78" i="23" s="1"/>
  <c r="F78" i="17"/>
  <c r="H77" i="17"/>
  <c r="C77" i="23" s="1"/>
  <c r="F77" i="17"/>
  <c r="H76" i="17"/>
  <c r="C76" i="23" s="1"/>
  <c r="F76" i="17"/>
  <c r="H75" i="17"/>
  <c r="C75" i="23" s="1"/>
  <c r="F75" i="17"/>
  <c r="H74" i="17"/>
  <c r="C74" i="23" s="1"/>
  <c r="F74" i="17"/>
  <c r="H73" i="17"/>
  <c r="C73" i="23" s="1"/>
  <c r="F73" i="17"/>
  <c r="H72" i="17"/>
  <c r="C72" i="23" s="1"/>
  <c r="F72" i="17"/>
  <c r="H71" i="17"/>
  <c r="C71" i="23" s="1"/>
  <c r="F71" i="17"/>
  <c r="H70" i="17"/>
  <c r="C70" i="23" s="1"/>
  <c r="F70" i="17"/>
  <c r="H69" i="17"/>
  <c r="C69" i="23" s="1"/>
  <c r="F69" i="17"/>
  <c r="G80" i="20"/>
  <c r="B80" i="20" s="1"/>
  <c r="G131" i="20"/>
  <c r="B131" i="20" s="1"/>
  <c r="H112" i="17" l="1"/>
  <c r="C112" i="23" s="1"/>
  <c r="F112" i="17"/>
  <c r="H111" i="17"/>
  <c r="C111" i="23" s="1"/>
  <c r="F111" i="17"/>
  <c r="H110" i="17"/>
  <c r="C110" i="23" s="1"/>
  <c r="F110" i="17"/>
  <c r="H109" i="17"/>
  <c r="C109" i="23" s="1"/>
  <c r="F109" i="17"/>
  <c r="H108" i="17"/>
  <c r="C108" i="23" s="1"/>
  <c r="F108" i="17"/>
  <c r="H107" i="17"/>
  <c r="C107" i="23" s="1"/>
  <c r="F107" i="17"/>
  <c r="H106" i="17"/>
  <c r="C106" i="23" s="1"/>
  <c r="F106" i="17"/>
  <c r="H105" i="17"/>
  <c r="C105" i="23" s="1"/>
  <c r="F105" i="17"/>
  <c r="H104" i="17"/>
  <c r="C104" i="23" s="1"/>
  <c r="F104" i="17"/>
  <c r="H103" i="17"/>
  <c r="C103" i="23" s="1"/>
  <c r="F103" i="17"/>
  <c r="H102" i="17"/>
  <c r="C102" i="23" s="1"/>
  <c r="F102" i="17"/>
  <c r="H101" i="17"/>
  <c r="C101" i="23" s="1"/>
  <c r="F101" i="17"/>
  <c r="H100" i="17"/>
  <c r="C100" i="23" s="1"/>
  <c r="F100" i="17"/>
  <c r="H99" i="17"/>
  <c r="C99" i="23" s="1"/>
  <c r="F99" i="17"/>
  <c r="H98" i="17"/>
  <c r="C98" i="23" s="1"/>
  <c r="F98" i="17"/>
  <c r="H97" i="17"/>
  <c r="C97" i="23" s="1"/>
  <c r="F97" i="17"/>
  <c r="H96" i="17"/>
  <c r="C96" i="23" s="1"/>
  <c r="F96" i="17"/>
  <c r="H95" i="17"/>
  <c r="C95" i="23" s="1"/>
  <c r="F95" i="17"/>
  <c r="H94" i="17"/>
  <c r="C94" i="23" s="1"/>
  <c r="F94" i="17"/>
  <c r="H93" i="17"/>
  <c r="C93" i="23" s="1"/>
  <c r="F93" i="17"/>
  <c r="H92" i="17"/>
  <c r="C92" i="23" s="1"/>
  <c r="F92" i="17"/>
  <c r="H91" i="17"/>
  <c r="C91" i="23" s="1"/>
  <c r="F91" i="17"/>
  <c r="H90" i="17"/>
  <c r="C90" i="23" s="1"/>
  <c r="F90" i="17"/>
  <c r="H89" i="17"/>
  <c r="C89" i="23" s="1"/>
  <c r="F89" i="17"/>
  <c r="H88" i="17"/>
  <c r="C88" i="23" s="1"/>
  <c r="F88" i="17"/>
  <c r="H87" i="17"/>
  <c r="C87" i="23" s="1"/>
  <c r="F87" i="17"/>
  <c r="H86" i="17"/>
  <c r="C86" i="23" s="1"/>
  <c r="F86" i="17"/>
  <c r="H85" i="17"/>
  <c r="C85" i="23" s="1"/>
  <c r="F85" i="17"/>
  <c r="B108" i="20"/>
  <c r="H113" i="17" l="1"/>
  <c r="C113" i="23" s="1"/>
  <c r="F113" i="17"/>
  <c r="B109" i="20"/>
  <c r="B27" i="16"/>
  <c r="B26" i="16"/>
  <c r="B25" i="16"/>
  <c r="B24" i="16"/>
  <c r="B23" i="16"/>
  <c r="B22" i="16"/>
  <c r="B21" i="16"/>
  <c r="B20" i="16"/>
  <c r="B19" i="16"/>
  <c r="B18" i="16"/>
  <c r="B17" i="16"/>
  <c r="B16" i="16"/>
  <c r="B15" i="16"/>
  <c r="B14" i="16"/>
  <c r="B13" i="16"/>
  <c r="B12" i="16"/>
  <c r="B11" i="16"/>
  <c r="B10" i="16"/>
  <c r="B9" i="16"/>
  <c r="B8" i="16"/>
  <c r="B7" i="16"/>
  <c r="B6" i="16"/>
  <c r="B5" i="16"/>
  <c r="B3" i="16"/>
  <c r="B4" i="16"/>
  <c r="D37" i="16"/>
  <c r="I27" i="16"/>
  <c r="I26" i="16"/>
  <c r="I25" i="16"/>
  <c r="I23" i="16"/>
  <c r="I22" i="16"/>
  <c r="I21" i="16"/>
  <c r="I20" i="16"/>
  <c r="I19" i="16"/>
  <c r="I18" i="16"/>
  <c r="I17" i="16"/>
  <c r="I16" i="16"/>
  <c r="I15" i="16"/>
  <c r="I14" i="16"/>
  <c r="I13" i="16"/>
  <c r="I12" i="16"/>
  <c r="I11" i="16"/>
  <c r="I10" i="16"/>
  <c r="I9" i="16"/>
  <c r="I8" i="16"/>
  <c r="I7" i="16"/>
  <c r="I6" i="16"/>
  <c r="I5" i="16"/>
  <c r="I4" i="16"/>
  <c r="I3" i="16"/>
  <c r="H27" i="16"/>
  <c r="H26" i="16"/>
  <c r="H25" i="16"/>
  <c r="H23" i="16"/>
  <c r="H22" i="16"/>
  <c r="H21" i="16"/>
  <c r="H20" i="16"/>
  <c r="H19" i="16"/>
  <c r="H18" i="16"/>
  <c r="H17" i="16"/>
  <c r="H16" i="16"/>
  <c r="H15" i="16"/>
  <c r="H14" i="16"/>
  <c r="H13" i="16"/>
  <c r="H12" i="16"/>
  <c r="H11" i="16"/>
  <c r="H10" i="16"/>
  <c r="H9" i="16"/>
  <c r="H8" i="16"/>
  <c r="H7" i="16"/>
  <c r="H6" i="16"/>
  <c r="H5" i="16"/>
  <c r="H4" i="16"/>
  <c r="H3" i="16"/>
  <c r="L27" i="16"/>
  <c r="L26" i="16"/>
  <c r="L25" i="16"/>
  <c r="L23" i="16"/>
  <c r="L22" i="16"/>
  <c r="L21" i="16"/>
  <c r="L20" i="16"/>
  <c r="L19" i="16"/>
  <c r="L18" i="16"/>
  <c r="L17" i="16"/>
  <c r="L16" i="16"/>
  <c r="L15" i="16"/>
  <c r="L14" i="16"/>
  <c r="L13" i="16"/>
  <c r="L12" i="16"/>
  <c r="L11" i="16"/>
  <c r="L10" i="16"/>
  <c r="L9" i="16"/>
  <c r="L8" i="16"/>
  <c r="L7" i="16"/>
  <c r="L6" i="16"/>
  <c r="L5" i="16"/>
  <c r="L3" i="16"/>
  <c r="U3" i="5" s="1"/>
  <c r="L4" i="16"/>
  <c r="H114" i="17" l="1"/>
  <c r="C114" i="23" s="1"/>
  <c r="F114" i="17"/>
  <c r="B110" i="20"/>
  <c r="G117" i="20"/>
  <c r="B117" i="20" s="1"/>
  <c r="J26" i="16"/>
  <c r="T59" i="5" s="1"/>
  <c r="J21" i="16"/>
  <c r="T66" i="5" s="1"/>
  <c r="J17" i="16"/>
  <c r="J13" i="16"/>
  <c r="J9" i="16"/>
  <c r="T8" i="5" s="1"/>
  <c r="J5" i="16"/>
  <c r="J25" i="16"/>
  <c r="J20" i="16"/>
  <c r="J16" i="16"/>
  <c r="J12" i="16"/>
  <c r="T11" i="5" s="1"/>
  <c r="J8" i="16"/>
  <c r="T37" i="5" s="1"/>
  <c r="J4" i="16"/>
  <c r="T28" i="5" s="1"/>
  <c r="J18" i="16"/>
  <c r="T55" i="5" s="1"/>
  <c r="T7" i="5"/>
  <c r="T44" i="5"/>
  <c r="T48" i="5"/>
  <c r="T51" i="5"/>
  <c r="T54" i="5"/>
  <c r="T19" i="5"/>
  <c r="U22" i="5"/>
  <c r="U21" i="5"/>
  <c r="U66" i="5"/>
  <c r="U20" i="5"/>
  <c r="U73" i="5"/>
  <c r="U72" i="5"/>
  <c r="U71" i="5"/>
  <c r="U70" i="5"/>
  <c r="U69" i="5"/>
  <c r="U68" i="5"/>
  <c r="U67" i="5"/>
  <c r="U65" i="5"/>
  <c r="U24" i="5"/>
  <c r="U28" i="5"/>
  <c r="U6" i="5"/>
  <c r="U7" i="5"/>
  <c r="U37" i="5"/>
  <c r="U9" i="5"/>
  <c r="U42" i="5"/>
  <c r="U44" i="5"/>
  <c r="U48" i="5"/>
  <c r="U51" i="5"/>
  <c r="U54" i="5"/>
  <c r="U57" i="5"/>
  <c r="U59" i="5"/>
  <c r="U18" i="5"/>
  <c r="J6" i="16"/>
  <c r="T5" i="5" s="1"/>
  <c r="J14" i="16"/>
  <c r="J22" i="16"/>
  <c r="S73" i="5"/>
  <c r="T4" i="5"/>
  <c r="T25" i="5"/>
  <c r="T29" i="5"/>
  <c r="T30" i="5"/>
  <c r="T36" i="5"/>
  <c r="T39" i="5"/>
  <c r="T12" i="5"/>
  <c r="T45" i="5"/>
  <c r="T47" i="5"/>
  <c r="T13" i="5"/>
  <c r="T14" i="5"/>
  <c r="T16" i="5"/>
  <c r="T17" i="5"/>
  <c r="T62" i="5"/>
  <c r="T63" i="5"/>
  <c r="T64" i="5"/>
  <c r="T69" i="5"/>
  <c r="J10" i="16"/>
  <c r="T9" i="5" s="1"/>
  <c r="J27" i="16"/>
  <c r="T35" i="5"/>
  <c r="T43" i="5"/>
  <c r="T46" i="5"/>
  <c r="T49" i="5"/>
  <c r="T53" i="5"/>
  <c r="T56" i="5"/>
  <c r="T58" i="5"/>
  <c r="J3" i="16"/>
  <c r="J11" i="16"/>
  <c r="T42" i="5" s="1"/>
  <c r="J19" i="16"/>
  <c r="U23" i="5"/>
  <c r="U26" i="5"/>
  <c r="U5" i="5"/>
  <c r="U32" i="5"/>
  <c r="U35" i="5"/>
  <c r="U38" i="5"/>
  <c r="U41" i="5"/>
  <c r="U43" i="5"/>
  <c r="U46" i="5"/>
  <c r="U49" i="5"/>
  <c r="U53" i="5"/>
  <c r="U56" i="5"/>
  <c r="U58" i="5"/>
  <c r="U61" i="5"/>
  <c r="U19" i="5"/>
  <c r="T72" i="5"/>
  <c r="J7" i="16"/>
  <c r="T31" i="5" s="1"/>
  <c r="J15" i="16"/>
  <c r="T50" i="5" s="1"/>
  <c r="J23" i="16"/>
  <c r="T22" i="5" s="1"/>
  <c r="U4" i="5"/>
  <c r="U25" i="5"/>
  <c r="U27" i="5"/>
  <c r="U29" i="5"/>
  <c r="U30" i="5"/>
  <c r="U31" i="5"/>
  <c r="U33" i="5"/>
  <c r="U34" i="5"/>
  <c r="U36" i="5"/>
  <c r="U8" i="5"/>
  <c r="U39" i="5"/>
  <c r="U40" i="5"/>
  <c r="U10" i="5"/>
  <c r="U11" i="5"/>
  <c r="U12" i="5"/>
  <c r="U45" i="5"/>
  <c r="U47" i="5"/>
  <c r="U13" i="5"/>
  <c r="U50" i="5"/>
  <c r="U52" i="5"/>
  <c r="U14" i="5"/>
  <c r="U55" i="5"/>
  <c r="U15" i="5"/>
  <c r="U16" i="5"/>
  <c r="U17" i="5"/>
  <c r="U60" i="5"/>
  <c r="U62" i="5"/>
  <c r="U63" i="5"/>
  <c r="U64" i="5"/>
  <c r="T67" i="5"/>
  <c r="T70" i="5"/>
  <c r="T73" i="5"/>
  <c r="R3" i="5"/>
  <c r="R23" i="5"/>
  <c r="R4" i="5"/>
  <c r="R24" i="5"/>
  <c r="R25" i="5"/>
  <c r="R26" i="5"/>
  <c r="R27" i="5"/>
  <c r="R28" i="5"/>
  <c r="R29" i="5"/>
  <c r="R5" i="5"/>
  <c r="R30" i="5"/>
  <c r="R6" i="5"/>
  <c r="R31" i="5"/>
  <c r="R32" i="5"/>
  <c r="R33" i="5"/>
  <c r="R7" i="5"/>
  <c r="R34" i="5"/>
  <c r="R35" i="5"/>
  <c r="R36" i="5"/>
  <c r="R37" i="5"/>
  <c r="R8" i="5"/>
  <c r="R38" i="5"/>
  <c r="R39" i="5"/>
  <c r="R9" i="5"/>
  <c r="R40" i="5"/>
  <c r="R41" i="5"/>
  <c r="R10" i="5"/>
  <c r="R42" i="5"/>
  <c r="R11" i="5"/>
  <c r="R43" i="5"/>
  <c r="R12" i="5"/>
  <c r="R44" i="5"/>
  <c r="R45" i="5"/>
  <c r="R46" i="5"/>
  <c r="R47" i="5"/>
  <c r="R48" i="5"/>
  <c r="R13" i="5"/>
  <c r="R49" i="5"/>
  <c r="R50" i="5"/>
  <c r="R51" i="5"/>
  <c r="R52" i="5"/>
  <c r="R53" i="5"/>
  <c r="R14" i="5"/>
  <c r="R54" i="5"/>
  <c r="R55" i="5"/>
  <c r="R56" i="5"/>
  <c r="R15" i="5"/>
  <c r="R57" i="5"/>
  <c r="R16" i="5"/>
  <c r="R58" i="5"/>
  <c r="R17" i="5"/>
  <c r="R59" i="5"/>
  <c r="R60" i="5"/>
  <c r="R61" i="5"/>
  <c r="R62" i="5"/>
  <c r="R18" i="5"/>
  <c r="R63" i="5"/>
  <c r="R19" i="5"/>
  <c r="R64" i="5"/>
  <c r="R20" i="5"/>
  <c r="R65" i="5"/>
  <c r="R66" i="5"/>
  <c r="R67" i="5"/>
  <c r="R21" i="5"/>
  <c r="R68" i="5"/>
  <c r="R69" i="5"/>
  <c r="R70" i="5"/>
  <c r="R71" i="5"/>
  <c r="R72" i="5"/>
  <c r="R22" i="5"/>
  <c r="R73" i="5"/>
  <c r="S3" i="5"/>
  <c r="S23" i="5"/>
  <c r="S4" i="5"/>
  <c r="S24" i="5"/>
  <c r="S25" i="5"/>
  <c r="S26" i="5"/>
  <c r="S27" i="5"/>
  <c r="S28" i="5"/>
  <c r="S29" i="5"/>
  <c r="S5" i="5"/>
  <c r="S30" i="5"/>
  <c r="S6" i="5"/>
  <c r="S31" i="5"/>
  <c r="S32" i="5"/>
  <c r="S33" i="5"/>
  <c r="S7" i="5"/>
  <c r="S34" i="5"/>
  <c r="S35" i="5"/>
  <c r="S36" i="5"/>
  <c r="S37" i="5"/>
  <c r="S8" i="5"/>
  <c r="S38" i="5"/>
  <c r="S39" i="5"/>
  <c r="S9" i="5"/>
  <c r="S40" i="5"/>
  <c r="S41" i="5"/>
  <c r="S10" i="5"/>
  <c r="S42" i="5"/>
  <c r="S11" i="5"/>
  <c r="S43" i="5"/>
  <c r="S12" i="5"/>
  <c r="S44" i="5"/>
  <c r="S45" i="5"/>
  <c r="S46" i="5"/>
  <c r="S47" i="5"/>
  <c r="S48" i="5"/>
  <c r="S13" i="5"/>
  <c r="S49" i="5"/>
  <c r="S50" i="5"/>
  <c r="S51" i="5"/>
  <c r="S52" i="5"/>
  <c r="S53" i="5"/>
  <c r="S14" i="5"/>
  <c r="S54" i="5"/>
  <c r="S55" i="5"/>
  <c r="S56" i="5"/>
  <c r="S15" i="5"/>
  <c r="S57" i="5"/>
  <c r="S16" i="5"/>
  <c r="S58" i="5"/>
  <c r="S17" i="5"/>
  <c r="S59" i="5"/>
  <c r="S60" i="5"/>
  <c r="S61" i="5"/>
  <c r="S62" i="5"/>
  <c r="S18" i="5"/>
  <c r="S63" i="5"/>
  <c r="S19" i="5"/>
  <c r="S64" i="5"/>
  <c r="S20" i="5"/>
  <c r="S65" i="5"/>
  <c r="S66" i="5"/>
  <c r="S67" i="5"/>
  <c r="S21" i="5"/>
  <c r="S68" i="5"/>
  <c r="S69" i="5"/>
  <c r="S70" i="5"/>
  <c r="S71" i="5"/>
  <c r="S72" i="5"/>
  <c r="S22" i="5"/>
  <c r="T57" i="5" l="1"/>
  <c r="T15" i="5"/>
  <c r="T71" i="5"/>
  <c r="T21" i="5"/>
  <c r="T68" i="5"/>
  <c r="H115" i="17"/>
  <c r="C115" i="23" s="1"/>
  <c r="F115" i="17"/>
  <c r="B111" i="20"/>
  <c r="G118" i="20"/>
  <c r="B118" i="20" s="1"/>
  <c r="T10" i="5"/>
  <c r="T23" i="5"/>
  <c r="T3" i="5"/>
  <c r="T32" i="5"/>
  <c r="T52" i="5"/>
  <c r="T40" i="5"/>
  <c r="T34" i="5"/>
  <c r="T6" i="5"/>
  <c r="T26" i="5"/>
  <c r="T24" i="5"/>
  <c r="T20" i="5"/>
  <c r="T41" i="5"/>
  <c r="T33" i="5"/>
  <c r="T27" i="5"/>
  <c r="T18" i="5"/>
  <c r="T65" i="5"/>
  <c r="T61" i="5"/>
  <c r="T38" i="5"/>
  <c r="T60" i="5"/>
  <c r="B35" i="11"/>
  <c r="B34" i="11"/>
  <c r="B33" i="11"/>
  <c r="B32" i="11"/>
  <c r="B31" i="11"/>
  <c r="B30" i="11"/>
  <c r="B29" i="11"/>
  <c r="B28" i="11"/>
  <c r="B27" i="11"/>
  <c r="B26" i="11"/>
  <c r="B25" i="11"/>
  <c r="B24" i="11"/>
  <c r="B23" i="11"/>
  <c r="B22" i="11"/>
  <c r="B21" i="11"/>
  <c r="B20" i="11"/>
  <c r="B19" i="11"/>
  <c r="B18" i="11"/>
  <c r="B17" i="11"/>
  <c r="B16" i="11"/>
  <c r="B15" i="11"/>
  <c r="B14" i="11"/>
  <c r="B13" i="11"/>
  <c r="B113" i="11"/>
  <c r="B112" i="11"/>
  <c r="B111" i="11"/>
  <c r="B110" i="11"/>
  <c r="B109" i="11"/>
  <c r="B108" i="11"/>
  <c r="B107" i="11"/>
  <c r="B106" i="11"/>
  <c r="B105" i="11"/>
  <c r="B104" i="11"/>
  <c r="B103" i="11"/>
  <c r="B102" i="11"/>
  <c r="B101" i="11"/>
  <c r="B100" i="11"/>
  <c r="B99" i="11"/>
  <c r="B98" i="11"/>
  <c r="B97" i="11"/>
  <c r="B96" i="11"/>
  <c r="B95" i="11"/>
  <c r="B94" i="11"/>
  <c r="B93" i="11"/>
  <c r="B92" i="11"/>
  <c r="B91" i="11"/>
  <c r="B90" i="11"/>
  <c r="B89" i="11"/>
  <c r="B88" i="11"/>
  <c r="B87" i="11"/>
  <c r="B86" i="11"/>
  <c r="B85" i="11"/>
  <c r="B84" i="11"/>
  <c r="B83" i="11"/>
  <c r="B82" i="11"/>
  <c r="B81" i="11"/>
  <c r="B80" i="11"/>
  <c r="B79" i="11"/>
  <c r="B78" i="11"/>
  <c r="B77" i="11"/>
  <c r="B76" i="11"/>
  <c r="B75" i="11"/>
  <c r="B74" i="11"/>
  <c r="B73" i="11"/>
  <c r="B72" i="11"/>
  <c r="B71" i="11"/>
  <c r="B70" i="11"/>
  <c r="B69" i="11"/>
  <c r="B68" i="11"/>
  <c r="B67" i="11"/>
  <c r="B66" i="11"/>
  <c r="B65" i="11"/>
  <c r="B64" i="11"/>
  <c r="B63" i="11"/>
  <c r="B62" i="11"/>
  <c r="B61" i="11"/>
  <c r="B60" i="11"/>
  <c r="B59" i="11"/>
  <c r="B58" i="11"/>
  <c r="B57" i="11"/>
  <c r="B56" i="11"/>
  <c r="B55" i="11"/>
  <c r="B54" i="11"/>
  <c r="B53" i="11"/>
  <c r="B52" i="11"/>
  <c r="B51" i="11"/>
  <c r="B50" i="11"/>
  <c r="B49" i="11"/>
  <c r="B48" i="11"/>
  <c r="B47" i="11"/>
  <c r="B46" i="11"/>
  <c r="B45" i="11"/>
  <c r="B44" i="11"/>
  <c r="B43" i="11"/>
  <c r="B42" i="11"/>
  <c r="B41" i="11"/>
  <c r="B40" i="11"/>
  <c r="B39" i="11"/>
  <c r="B38" i="11"/>
  <c r="B37" i="11"/>
  <c r="B36" i="11"/>
  <c r="B12" i="11"/>
  <c r="B11" i="11"/>
  <c r="B10" i="11"/>
  <c r="B9" i="11"/>
  <c r="B8" i="11"/>
  <c r="B7" i="11"/>
  <c r="B6" i="11"/>
  <c r="B5" i="11"/>
  <c r="B4" i="11"/>
  <c r="B3" i="11"/>
  <c r="V141" i="17" l="1"/>
  <c r="V140" i="17"/>
  <c r="V139" i="17"/>
  <c r="V138" i="17"/>
  <c r="V137" i="17"/>
  <c r="V136" i="17"/>
  <c r="V135" i="17"/>
  <c r="V134" i="17"/>
  <c r="V133" i="17"/>
  <c r="V132" i="17"/>
  <c r="V131" i="17"/>
  <c r="V130" i="17"/>
  <c r="V129" i="17"/>
  <c r="V128" i="17"/>
  <c r="V127" i="17"/>
  <c r="V126" i="17"/>
  <c r="V125" i="17"/>
  <c r="V124" i="17"/>
  <c r="V123" i="17"/>
  <c r="V122" i="17"/>
  <c r="V121" i="17"/>
  <c r="V120" i="17"/>
  <c r="V119" i="17"/>
  <c r="V118" i="17"/>
  <c r="V117" i="17"/>
  <c r="V116" i="17"/>
  <c r="V115" i="17"/>
  <c r="V114" i="17"/>
  <c r="V113" i="17"/>
  <c r="V112" i="17"/>
  <c r="V111" i="17"/>
  <c r="V110" i="17"/>
  <c r="V109" i="17"/>
  <c r="V108" i="17"/>
  <c r="V107" i="17"/>
  <c r="V106" i="17"/>
  <c r="V105" i="17"/>
  <c r="V104" i="17"/>
  <c r="V103" i="17"/>
  <c r="V102" i="17"/>
  <c r="V101" i="17"/>
  <c r="V100" i="17"/>
  <c r="V99" i="17"/>
  <c r="V98" i="17"/>
  <c r="V97" i="17"/>
  <c r="V96" i="17"/>
  <c r="V95" i="17"/>
  <c r="V94" i="17"/>
  <c r="V93" i="17"/>
  <c r="V92" i="17"/>
  <c r="V91" i="17"/>
  <c r="V90" i="17"/>
  <c r="V89" i="17"/>
  <c r="V88" i="17"/>
  <c r="V87" i="17"/>
  <c r="V86" i="17"/>
  <c r="V85" i="17"/>
  <c r="V84" i="17"/>
  <c r="V83" i="17"/>
  <c r="V82" i="17"/>
  <c r="V81" i="17"/>
  <c r="V80" i="17"/>
  <c r="V79" i="17"/>
  <c r="V78" i="17"/>
  <c r="V77" i="17"/>
  <c r="V76" i="17"/>
  <c r="V75" i="17"/>
  <c r="V74" i="17"/>
  <c r="V73" i="17"/>
  <c r="V72" i="17"/>
  <c r="V71" i="17"/>
  <c r="V70" i="17"/>
  <c r="V69" i="17"/>
  <c r="V68" i="17"/>
  <c r="V67" i="17"/>
  <c r="V66" i="17"/>
  <c r="V65" i="17"/>
  <c r="V64" i="17"/>
  <c r="V63" i="17"/>
  <c r="V62" i="17"/>
  <c r="V61" i="17"/>
  <c r="V60" i="17"/>
  <c r="V59" i="17"/>
  <c r="V58" i="17"/>
  <c r="V57" i="17"/>
  <c r="V56" i="17"/>
  <c r="V55" i="17"/>
  <c r="V54" i="17"/>
  <c r="V53" i="17"/>
  <c r="V52" i="17"/>
  <c r="V51" i="17"/>
  <c r="V50" i="17"/>
  <c r="V49" i="17"/>
  <c r="V48" i="17"/>
  <c r="V47" i="17"/>
  <c r="V46" i="17"/>
  <c r="V45" i="17"/>
  <c r="V44" i="17"/>
  <c r="V43" i="17"/>
  <c r="V42" i="17"/>
  <c r="V41" i="17"/>
  <c r="V40" i="17"/>
  <c r="V39" i="17"/>
  <c r="V37" i="17"/>
  <c r="V36" i="17"/>
  <c r="V35" i="17"/>
  <c r="V34" i="17"/>
  <c r="V33" i="17"/>
  <c r="V32" i="17"/>
  <c r="V31" i="17"/>
  <c r="V30" i="17"/>
  <c r="V29" i="17"/>
  <c r="V28" i="17"/>
  <c r="V27" i="17"/>
  <c r="V26" i="17"/>
  <c r="V25" i="17"/>
  <c r="V24" i="17"/>
  <c r="V23" i="17"/>
  <c r="V22" i="17"/>
  <c r="V21" i="17"/>
  <c r="V20" i="17"/>
  <c r="V19" i="17"/>
  <c r="V18" i="17"/>
  <c r="V17" i="17"/>
  <c r="V16" i="17"/>
  <c r="V15" i="17"/>
  <c r="V14" i="17"/>
  <c r="V13" i="17"/>
  <c r="V12" i="17"/>
  <c r="V11" i="17"/>
  <c r="V10" i="17"/>
  <c r="V9" i="17"/>
  <c r="V8" i="17"/>
  <c r="V7" i="17"/>
  <c r="V6" i="17"/>
  <c r="X141" i="17"/>
  <c r="K141" i="23" s="1"/>
  <c r="O141" i="17"/>
  <c r="X140" i="17"/>
  <c r="K140" i="23" s="1"/>
  <c r="O140" i="17"/>
  <c r="X139" i="17"/>
  <c r="K139" i="23" s="1"/>
  <c r="O139" i="17"/>
  <c r="X138" i="17"/>
  <c r="K138" i="23" s="1"/>
  <c r="O138" i="17"/>
  <c r="X137" i="17"/>
  <c r="K137" i="23" s="1"/>
  <c r="O137" i="17"/>
  <c r="X136" i="17"/>
  <c r="K136" i="23" s="1"/>
  <c r="O136" i="17"/>
  <c r="X135" i="17"/>
  <c r="K135" i="23" s="1"/>
  <c r="O135" i="17"/>
  <c r="X134" i="17"/>
  <c r="K134" i="23" s="1"/>
  <c r="O134" i="17"/>
  <c r="X133" i="17"/>
  <c r="K133" i="23" s="1"/>
  <c r="O133" i="17"/>
  <c r="X132" i="17"/>
  <c r="K132" i="23" s="1"/>
  <c r="O132" i="17"/>
  <c r="X131" i="17"/>
  <c r="K131" i="23" s="1"/>
  <c r="O131" i="17"/>
  <c r="X130" i="17"/>
  <c r="K130" i="23" s="1"/>
  <c r="O130" i="17"/>
  <c r="X129" i="17"/>
  <c r="K129" i="23" s="1"/>
  <c r="O129" i="17"/>
  <c r="X128" i="17"/>
  <c r="K128" i="23" s="1"/>
  <c r="O128" i="17"/>
  <c r="X127" i="17"/>
  <c r="K127" i="23" s="1"/>
  <c r="O127" i="17"/>
  <c r="X126" i="17"/>
  <c r="K126" i="23" s="1"/>
  <c r="O126" i="17"/>
  <c r="X125" i="17"/>
  <c r="K125" i="23" s="1"/>
  <c r="O125" i="17"/>
  <c r="X124" i="17"/>
  <c r="K124" i="23" s="1"/>
  <c r="O124" i="17"/>
  <c r="X123" i="17"/>
  <c r="K123" i="23" s="1"/>
  <c r="O123" i="17"/>
  <c r="X122" i="17"/>
  <c r="K122" i="23" s="1"/>
  <c r="O122" i="17"/>
  <c r="X121" i="17"/>
  <c r="K121" i="23" s="1"/>
  <c r="O121" i="17"/>
  <c r="X120" i="17"/>
  <c r="K120" i="23" s="1"/>
  <c r="O120" i="17"/>
  <c r="X119" i="17"/>
  <c r="K119" i="23" s="1"/>
  <c r="O119" i="17"/>
  <c r="X118" i="17"/>
  <c r="K118" i="23" s="1"/>
  <c r="O118" i="17"/>
  <c r="X117" i="17"/>
  <c r="K117" i="23" s="1"/>
  <c r="O117" i="17"/>
  <c r="X116" i="17"/>
  <c r="K116" i="23" s="1"/>
  <c r="O116" i="17"/>
  <c r="X115" i="17"/>
  <c r="K115" i="23" s="1"/>
  <c r="O115" i="17"/>
  <c r="X114" i="17"/>
  <c r="K114" i="23" s="1"/>
  <c r="O114" i="17"/>
  <c r="X113" i="17"/>
  <c r="K113" i="23" s="1"/>
  <c r="O113" i="17"/>
  <c r="X112" i="17"/>
  <c r="K112" i="23" s="1"/>
  <c r="O112" i="17"/>
  <c r="X111" i="17"/>
  <c r="K111" i="23" s="1"/>
  <c r="O111" i="17"/>
  <c r="X110" i="17"/>
  <c r="K110" i="23" s="1"/>
  <c r="O110" i="17"/>
  <c r="X109" i="17"/>
  <c r="K109" i="23" s="1"/>
  <c r="O109" i="17"/>
  <c r="X108" i="17"/>
  <c r="K108" i="23" s="1"/>
  <c r="O108" i="17"/>
  <c r="X107" i="17"/>
  <c r="K107" i="23" s="1"/>
  <c r="O107" i="17"/>
  <c r="X106" i="17"/>
  <c r="K106" i="23" s="1"/>
  <c r="O106" i="17"/>
  <c r="X105" i="17"/>
  <c r="K105" i="23" s="1"/>
  <c r="O105" i="17"/>
  <c r="X104" i="17"/>
  <c r="K104" i="23" s="1"/>
  <c r="O104" i="17"/>
  <c r="X103" i="17"/>
  <c r="K103" i="23" s="1"/>
  <c r="O103" i="17"/>
  <c r="X102" i="17"/>
  <c r="K102" i="23" s="1"/>
  <c r="O102" i="17"/>
  <c r="X101" i="17"/>
  <c r="K101" i="23" s="1"/>
  <c r="O101" i="17"/>
  <c r="X100" i="17"/>
  <c r="K100" i="23" s="1"/>
  <c r="O100" i="17"/>
  <c r="X99" i="17"/>
  <c r="K99" i="23" s="1"/>
  <c r="O99" i="17"/>
  <c r="X98" i="17"/>
  <c r="K98" i="23" s="1"/>
  <c r="O98" i="17"/>
  <c r="X97" i="17"/>
  <c r="K97" i="23" s="1"/>
  <c r="O97" i="17"/>
  <c r="X96" i="17"/>
  <c r="K96" i="23" s="1"/>
  <c r="O96" i="17"/>
  <c r="X95" i="17"/>
  <c r="K95" i="23" s="1"/>
  <c r="O95" i="17"/>
  <c r="X94" i="17"/>
  <c r="K94" i="23" s="1"/>
  <c r="O94" i="17"/>
  <c r="X93" i="17"/>
  <c r="K93" i="23" s="1"/>
  <c r="O93" i="17"/>
  <c r="X92" i="17"/>
  <c r="K92" i="23" s="1"/>
  <c r="O92" i="17"/>
  <c r="X91" i="17"/>
  <c r="K91" i="23" s="1"/>
  <c r="O91" i="17"/>
  <c r="X90" i="17"/>
  <c r="K90" i="23" s="1"/>
  <c r="O90" i="17"/>
  <c r="X89" i="17"/>
  <c r="K89" i="23" s="1"/>
  <c r="O89" i="17"/>
  <c r="X88" i="17"/>
  <c r="K88" i="23" s="1"/>
  <c r="O88" i="17"/>
  <c r="X87" i="17"/>
  <c r="K87" i="23" s="1"/>
  <c r="O87" i="17"/>
  <c r="X86" i="17"/>
  <c r="K86" i="23" s="1"/>
  <c r="O86" i="17"/>
  <c r="X85" i="17"/>
  <c r="K85" i="23" s="1"/>
  <c r="O85" i="17"/>
  <c r="X84" i="17"/>
  <c r="K84" i="23" s="1"/>
  <c r="O84" i="17"/>
  <c r="X83" i="17"/>
  <c r="K83" i="23" s="1"/>
  <c r="O83" i="17"/>
  <c r="X82" i="17"/>
  <c r="K82" i="23" s="1"/>
  <c r="O82" i="17"/>
  <c r="X81" i="17"/>
  <c r="K81" i="23" s="1"/>
  <c r="O81" i="17"/>
  <c r="X80" i="17"/>
  <c r="K80" i="23" s="1"/>
  <c r="O80" i="17"/>
  <c r="X79" i="17"/>
  <c r="K79" i="23" s="1"/>
  <c r="O79" i="17"/>
  <c r="X78" i="17"/>
  <c r="K78" i="23" s="1"/>
  <c r="O78" i="17"/>
  <c r="X77" i="17"/>
  <c r="K77" i="23" s="1"/>
  <c r="O77" i="17"/>
  <c r="X76" i="17"/>
  <c r="K76" i="23" s="1"/>
  <c r="O76" i="17"/>
  <c r="X75" i="17"/>
  <c r="K75" i="23" s="1"/>
  <c r="O75" i="17"/>
  <c r="X74" i="17"/>
  <c r="K74" i="23" s="1"/>
  <c r="O74" i="17"/>
  <c r="X73" i="17"/>
  <c r="K73" i="23" s="1"/>
  <c r="O73" i="17"/>
  <c r="X72" i="17"/>
  <c r="K72" i="23" s="1"/>
  <c r="O72" i="17"/>
  <c r="X71" i="17"/>
  <c r="K71" i="23" s="1"/>
  <c r="O71" i="17"/>
  <c r="X70" i="17"/>
  <c r="K70" i="23" s="1"/>
  <c r="O70" i="17"/>
  <c r="X69" i="17"/>
  <c r="K69" i="23" s="1"/>
  <c r="O69" i="17"/>
  <c r="X68" i="17"/>
  <c r="K68" i="23" s="1"/>
  <c r="O68" i="17"/>
  <c r="X67" i="17"/>
  <c r="K67" i="23" s="1"/>
  <c r="O67" i="17"/>
  <c r="X66" i="17"/>
  <c r="K66" i="23" s="1"/>
  <c r="O66" i="17"/>
  <c r="X65" i="17"/>
  <c r="K65" i="23" s="1"/>
  <c r="O65" i="17"/>
  <c r="X64" i="17"/>
  <c r="K64" i="23" s="1"/>
  <c r="O64" i="17"/>
  <c r="X63" i="17"/>
  <c r="K63" i="23" s="1"/>
  <c r="O63" i="17"/>
  <c r="X62" i="17"/>
  <c r="K62" i="23" s="1"/>
  <c r="O62" i="17"/>
  <c r="X61" i="17"/>
  <c r="K61" i="23" s="1"/>
  <c r="O61" i="17"/>
  <c r="X60" i="17"/>
  <c r="K60" i="23" s="1"/>
  <c r="O60" i="17"/>
  <c r="X59" i="17"/>
  <c r="K59" i="23" s="1"/>
  <c r="O59" i="17"/>
  <c r="X58" i="17"/>
  <c r="K58" i="23" s="1"/>
  <c r="O58" i="17"/>
  <c r="X57" i="17"/>
  <c r="K57" i="23" s="1"/>
  <c r="O57" i="17"/>
  <c r="X56" i="17"/>
  <c r="K56" i="23" s="1"/>
  <c r="O56" i="17"/>
  <c r="X55" i="17"/>
  <c r="K55" i="23" s="1"/>
  <c r="O55" i="17"/>
  <c r="X54" i="17"/>
  <c r="K54" i="23" s="1"/>
  <c r="O54" i="17"/>
  <c r="X53" i="17"/>
  <c r="K53" i="23" s="1"/>
  <c r="O53" i="17"/>
  <c r="X52" i="17"/>
  <c r="K52" i="23" s="1"/>
  <c r="O52" i="17"/>
  <c r="X51" i="17"/>
  <c r="K51" i="23" s="1"/>
  <c r="O51" i="17"/>
  <c r="X50" i="17"/>
  <c r="K50" i="23" s="1"/>
  <c r="O50" i="17"/>
  <c r="X49" i="17"/>
  <c r="K49" i="23" s="1"/>
  <c r="O49" i="17"/>
  <c r="X48" i="17"/>
  <c r="K48" i="23" s="1"/>
  <c r="O48" i="17"/>
  <c r="X47" i="17"/>
  <c r="K47" i="23" s="1"/>
  <c r="O47" i="17"/>
  <c r="X46" i="17"/>
  <c r="K46" i="23" s="1"/>
  <c r="O46" i="17"/>
  <c r="X45" i="17"/>
  <c r="K45" i="23" s="1"/>
  <c r="O45" i="17"/>
  <c r="X44" i="17"/>
  <c r="K44" i="23" s="1"/>
  <c r="O44" i="17"/>
  <c r="X43" i="17"/>
  <c r="K43" i="23" s="1"/>
  <c r="O43" i="17"/>
  <c r="X42" i="17"/>
  <c r="K42" i="23" s="1"/>
  <c r="O42" i="17"/>
  <c r="X41" i="17"/>
  <c r="K41" i="23" s="1"/>
  <c r="O41" i="17"/>
  <c r="X40" i="17"/>
  <c r="K40" i="23" s="1"/>
  <c r="O40" i="17"/>
  <c r="O39" i="17"/>
  <c r="S137" i="18"/>
  <c r="S78" i="18"/>
  <c r="S77" i="18"/>
  <c r="S105" i="18"/>
  <c r="S103" i="18"/>
  <c r="S102" i="18"/>
  <c r="S76" i="18"/>
  <c r="S75" i="18"/>
  <c r="S90" i="18"/>
  <c r="S118" i="18"/>
  <c r="S117" i="18"/>
  <c r="S116" i="18"/>
  <c r="S115" i="18"/>
  <c r="S133" i="18"/>
  <c r="S88" i="18"/>
  <c r="S130" i="18"/>
  <c r="S129" i="18"/>
  <c r="S139" i="18"/>
  <c r="S83" i="18"/>
  <c r="S82" i="18"/>
  <c r="S136" i="18"/>
  <c r="S93" i="18"/>
  <c r="S72" i="18"/>
  <c r="S71" i="18"/>
  <c r="S70" i="18"/>
  <c r="S69" i="18"/>
  <c r="S68" i="18"/>
  <c r="S67" i="18"/>
  <c r="S114" i="18"/>
  <c r="S87" i="18"/>
  <c r="S92" i="18"/>
  <c r="S91" i="18"/>
  <c r="S99" i="18"/>
  <c r="S98" i="18"/>
  <c r="S96" i="18"/>
  <c r="S95" i="18"/>
  <c r="S134" i="18"/>
  <c r="S63" i="18"/>
  <c r="S62" i="18"/>
  <c r="S97" i="18"/>
  <c r="S65" i="18"/>
  <c r="S61" i="18"/>
  <c r="S59" i="18"/>
  <c r="S57" i="18"/>
  <c r="S56" i="18"/>
  <c r="S55" i="18"/>
  <c r="S54" i="18"/>
  <c r="S53" i="18"/>
  <c r="S52" i="18"/>
  <c r="S50" i="18"/>
  <c r="S49" i="18"/>
  <c r="S48" i="18"/>
  <c r="S113" i="18"/>
  <c r="S111" i="18"/>
  <c r="S42" i="18"/>
  <c r="S123" i="18"/>
  <c r="S140" i="18"/>
  <c r="S131" i="18"/>
  <c r="S64" i="18"/>
  <c r="S41" i="18"/>
  <c r="S44" i="18"/>
  <c r="S43" i="18"/>
  <c r="S126" i="18"/>
  <c r="S125" i="18"/>
  <c r="S124" i="18"/>
  <c r="S86" i="18"/>
  <c r="S110" i="18"/>
  <c r="S109" i="18"/>
  <c r="S121" i="18"/>
  <c r="S39" i="18"/>
  <c r="S80" i="18"/>
  <c r="S138" i="18"/>
  <c r="S108" i="18"/>
  <c r="S107" i="18"/>
  <c r="S106" i="18"/>
  <c r="S85" i="18"/>
  <c r="S84" i="18"/>
  <c r="S35" i="18"/>
  <c r="M35" i="18"/>
  <c r="S15" i="18"/>
  <c r="M15" i="18"/>
  <c r="S33" i="18"/>
  <c r="M33" i="18"/>
  <c r="S25" i="18"/>
  <c r="M25" i="18"/>
  <c r="S24" i="18"/>
  <c r="M24" i="18"/>
  <c r="S5" i="18"/>
  <c r="M5" i="18"/>
  <c r="S32" i="18"/>
  <c r="M32" i="18"/>
  <c r="S31" i="18"/>
  <c r="M31" i="18"/>
  <c r="S34" i="18"/>
  <c r="M34" i="18"/>
  <c r="S29" i="18"/>
  <c r="M29" i="18"/>
  <c r="S21" i="18"/>
  <c r="M21" i="18"/>
  <c r="S30" i="18"/>
  <c r="M30" i="18"/>
  <c r="S37" i="18"/>
  <c r="M37" i="18"/>
  <c r="S17" i="18"/>
  <c r="M17" i="18"/>
  <c r="S20" i="18"/>
  <c r="M20" i="18"/>
  <c r="S13" i="18"/>
  <c r="M13" i="18"/>
  <c r="S19" i="18"/>
  <c r="M19" i="18"/>
  <c r="S12" i="18"/>
  <c r="M12" i="18"/>
  <c r="S14" i="18"/>
  <c r="M14" i="18"/>
  <c r="S22" i="18"/>
  <c r="M22" i="18"/>
  <c r="S11" i="18"/>
  <c r="M11" i="18"/>
  <c r="S9" i="18"/>
  <c r="M9" i="18"/>
  <c r="S18" i="18"/>
  <c r="M18" i="18"/>
  <c r="S27" i="18"/>
  <c r="M27" i="18"/>
  <c r="S28" i="18"/>
  <c r="M28" i="18"/>
  <c r="S26" i="18"/>
  <c r="M26" i="18"/>
  <c r="S10" i="18"/>
  <c r="M10" i="18"/>
  <c r="S8" i="18"/>
  <c r="M8" i="18"/>
  <c r="S6" i="18"/>
  <c r="M6" i="18"/>
  <c r="S7" i="18"/>
  <c r="M7" i="18"/>
  <c r="S16" i="18"/>
  <c r="M16" i="18"/>
  <c r="S23" i="18"/>
  <c r="M23" i="18"/>
  <c r="S36" i="18"/>
  <c r="Q36" i="18"/>
  <c r="M36" i="18"/>
  <c r="X39" i="17"/>
  <c r="K39" i="23" s="1"/>
  <c r="X37" i="17"/>
  <c r="K37" i="23" s="1"/>
  <c r="X36" i="17"/>
  <c r="K36" i="23" s="1"/>
  <c r="X35" i="17"/>
  <c r="K35" i="23" s="1"/>
  <c r="X34" i="17"/>
  <c r="K34" i="23" s="1"/>
  <c r="X33" i="17"/>
  <c r="K33" i="23" s="1"/>
  <c r="X32" i="17"/>
  <c r="K32" i="23" s="1"/>
  <c r="X31" i="17"/>
  <c r="K31" i="23" s="1"/>
  <c r="X30" i="17"/>
  <c r="K30" i="23" s="1"/>
  <c r="X29" i="17"/>
  <c r="K29" i="23" s="1"/>
  <c r="X28" i="17"/>
  <c r="K28" i="23" s="1"/>
  <c r="X27" i="17"/>
  <c r="K27" i="23" s="1"/>
  <c r="X26" i="17"/>
  <c r="K26" i="23" s="1"/>
  <c r="X25" i="17"/>
  <c r="K25" i="23" s="1"/>
  <c r="X24" i="17"/>
  <c r="K24" i="23" s="1"/>
  <c r="X23" i="17"/>
  <c r="K23" i="23" s="1"/>
  <c r="X22" i="17"/>
  <c r="K22" i="23" s="1"/>
  <c r="X21" i="17"/>
  <c r="K21" i="23" s="1"/>
  <c r="X20" i="17"/>
  <c r="K20" i="23" s="1"/>
  <c r="X19" i="17"/>
  <c r="K19" i="23" s="1"/>
  <c r="X18" i="17"/>
  <c r="K18" i="23" s="1"/>
  <c r="X17" i="17"/>
  <c r="K17" i="23" s="1"/>
  <c r="X16" i="17"/>
  <c r="K16" i="23" s="1"/>
  <c r="X15" i="17"/>
  <c r="K15" i="23" s="1"/>
  <c r="X14" i="17"/>
  <c r="K14" i="23" s="1"/>
  <c r="X13" i="17"/>
  <c r="K13" i="23" s="1"/>
  <c r="X12" i="17"/>
  <c r="K12" i="23" s="1"/>
  <c r="X11" i="17"/>
  <c r="K11" i="23" s="1"/>
  <c r="X10" i="17"/>
  <c r="K10" i="23" s="1"/>
  <c r="X9" i="17"/>
  <c r="K9" i="23" s="1"/>
  <c r="X8" i="17"/>
  <c r="K8" i="23" s="1"/>
  <c r="X7" i="17"/>
  <c r="K7" i="23" s="1"/>
  <c r="X6" i="17"/>
  <c r="K6" i="23" s="1"/>
  <c r="H116" i="17"/>
  <c r="C116" i="23" s="1"/>
  <c r="F116" i="17"/>
  <c r="B113" i="20"/>
  <c r="B112" i="20"/>
  <c r="G119" i="20"/>
  <c r="B119" i="20" s="1"/>
  <c r="O37" i="17"/>
  <c r="O33" i="17"/>
  <c r="O29" i="17"/>
  <c r="O25" i="17"/>
  <c r="O21" i="17"/>
  <c r="O17" i="17"/>
  <c r="O13" i="17"/>
  <c r="O9" i="17"/>
  <c r="O5" i="17"/>
  <c r="O36" i="17"/>
  <c r="O32" i="17"/>
  <c r="O28" i="17"/>
  <c r="O24" i="17"/>
  <c r="O20" i="17"/>
  <c r="O16" i="17"/>
  <c r="O12" i="17"/>
  <c r="O8" i="17"/>
  <c r="X5" i="17"/>
  <c r="K5" i="23" s="1"/>
  <c r="O35" i="17"/>
  <c r="O31" i="17"/>
  <c r="O27" i="17"/>
  <c r="O23" i="17"/>
  <c r="O19" i="17"/>
  <c r="O15" i="17"/>
  <c r="O11" i="17"/>
  <c r="O7" i="17"/>
  <c r="V5" i="17"/>
  <c r="O34" i="17"/>
  <c r="O30" i="17"/>
  <c r="O26" i="17"/>
  <c r="O22" i="17"/>
  <c r="O18" i="17"/>
  <c r="O14" i="17"/>
  <c r="O10" i="17"/>
  <c r="O6" i="17"/>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10" i="9"/>
  <c r="D9" i="9"/>
  <c r="D8" i="9"/>
  <c r="D7" i="9"/>
  <c r="D6" i="9"/>
  <c r="D5" i="9"/>
  <c r="P5" i="17" s="1"/>
  <c r="A73" i="5"/>
  <c r="Y73" i="5" s="1"/>
  <c r="A22" i="5"/>
  <c r="Y22" i="5" s="1"/>
  <c r="A72" i="5"/>
  <c r="Y72" i="5" s="1"/>
  <c r="A71" i="5"/>
  <c r="Y71" i="5" s="1"/>
  <c r="A70" i="5"/>
  <c r="Y70" i="5" s="1"/>
  <c r="A69" i="5"/>
  <c r="Y69" i="5" s="1"/>
  <c r="A68" i="5"/>
  <c r="Y68" i="5" s="1"/>
  <c r="A21" i="5"/>
  <c r="Y21" i="5" s="1"/>
  <c r="A67" i="5"/>
  <c r="Y67" i="5" s="1"/>
  <c r="A66" i="5"/>
  <c r="Y66" i="5" s="1"/>
  <c r="A65" i="5"/>
  <c r="Y65" i="5" s="1"/>
  <c r="A20" i="5"/>
  <c r="Y20" i="5" s="1"/>
  <c r="A64" i="5"/>
  <c r="Y64" i="5" s="1"/>
  <c r="A19" i="5"/>
  <c r="Y19" i="5" s="1"/>
  <c r="A63" i="5"/>
  <c r="Y63" i="5" s="1"/>
  <c r="A18" i="5"/>
  <c r="Y18" i="5" s="1"/>
  <c r="A62" i="5"/>
  <c r="Y62" i="5" s="1"/>
  <c r="A61" i="5"/>
  <c r="Y61" i="5" s="1"/>
  <c r="A60" i="5"/>
  <c r="Y60" i="5" s="1"/>
  <c r="A59" i="5"/>
  <c r="Y59" i="5" s="1"/>
  <c r="A17" i="5"/>
  <c r="Y17" i="5" s="1"/>
  <c r="A58" i="5"/>
  <c r="Y58" i="5" s="1"/>
  <c r="A16" i="5"/>
  <c r="Y16" i="5" s="1"/>
  <c r="A57" i="5"/>
  <c r="Y57" i="5" s="1"/>
  <c r="A15" i="5"/>
  <c r="Y15" i="5" s="1"/>
  <c r="A56" i="5"/>
  <c r="Y56" i="5" s="1"/>
  <c r="A55" i="5"/>
  <c r="Y55" i="5" s="1"/>
  <c r="A54" i="5"/>
  <c r="Y54" i="5" s="1"/>
  <c r="A14" i="5"/>
  <c r="Y14" i="5" s="1"/>
  <c r="A53" i="5"/>
  <c r="Y53" i="5" s="1"/>
  <c r="A52" i="5"/>
  <c r="Y52" i="5" s="1"/>
  <c r="A51" i="5"/>
  <c r="Y51" i="5" s="1"/>
  <c r="A50" i="5"/>
  <c r="Y50" i="5" s="1"/>
  <c r="A49" i="5"/>
  <c r="Y49" i="5" s="1"/>
  <c r="A13" i="5"/>
  <c r="Y13" i="5" s="1"/>
  <c r="A48" i="5"/>
  <c r="Y48" i="5" s="1"/>
  <c r="A47" i="5"/>
  <c r="Y47" i="5" s="1"/>
  <c r="A46" i="5"/>
  <c r="Y46" i="5" s="1"/>
  <c r="A45" i="5"/>
  <c r="Y45" i="5" s="1"/>
  <c r="A44" i="5"/>
  <c r="Y44" i="5" s="1"/>
  <c r="A12" i="5"/>
  <c r="Y12" i="5" s="1"/>
  <c r="A43" i="5"/>
  <c r="Y43" i="5" s="1"/>
  <c r="A11" i="5"/>
  <c r="Y11" i="5" s="1"/>
  <c r="A42" i="5"/>
  <c r="Y42" i="5" s="1"/>
  <c r="A10" i="5"/>
  <c r="Y10" i="5" s="1"/>
  <c r="A41" i="5"/>
  <c r="Y41" i="5" s="1"/>
  <c r="A40" i="5"/>
  <c r="Y40" i="5" s="1"/>
  <c r="A9" i="5"/>
  <c r="Y9" i="5" s="1"/>
  <c r="A39" i="5"/>
  <c r="Y39" i="5" s="1"/>
  <c r="A38" i="5"/>
  <c r="Y38" i="5" s="1"/>
  <c r="A8" i="5"/>
  <c r="Y8" i="5" s="1"/>
  <c r="A37" i="5"/>
  <c r="Y37" i="5" s="1"/>
  <c r="A36" i="5"/>
  <c r="Y36" i="5" s="1"/>
  <c r="A35" i="5"/>
  <c r="Y35" i="5" s="1"/>
  <c r="A34" i="5"/>
  <c r="Y34" i="5" s="1"/>
  <c r="A7" i="5"/>
  <c r="Y7" i="5" s="1"/>
  <c r="A33" i="5"/>
  <c r="Y33" i="5" s="1"/>
  <c r="A32" i="5"/>
  <c r="Y32" i="5" s="1"/>
  <c r="A31" i="5"/>
  <c r="Y31" i="5" s="1"/>
  <c r="A6" i="5"/>
  <c r="Y6" i="5" s="1"/>
  <c r="A30" i="5"/>
  <c r="Y30" i="5" s="1"/>
  <c r="A5" i="5"/>
  <c r="Y5" i="5" s="1"/>
  <c r="A29" i="5"/>
  <c r="Y29" i="5" s="1"/>
  <c r="A28" i="5"/>
  <c r="Y28" i="5" s="1"/>
  <c r="A27" i="5"/>
  <c r="Y27" i="5" s="1"/>
  <c r="A26" i="5"/>
  <c r="Y26" i="5" s="1"/>
  <c r="A25" i="5"/>
  <c r="Y25" i="5" s="1"/>
  <c r="A24" i="5"/>
  <c r="Y24" i="5" s="1"/>
  <c r="A4" i="5"/>
  <c r="Y4" i="5" s="1"/>
  <c r="A23" i="5"/>
  <c r="Y23" i="5" s="1"/>
  <c r="A3" i="5"/>
  <c r="I50" i="17" l="1"/>
  <c r="D50" i="23" s="1"/>
  <c r="M141" i="17"/>
  <c r="L141" i="17"/>
  <c r="K141" i="17"/>
  <c r="I141" i="17"/>
  <c r="D141" i="23" s="1"/>
  <c r="M140" i="17"/>
  <c r="L140" i="17"/>
  <c r="K140" i="17"/>
  <c r="I140" i="17"/>
  <c r="D140" i="23" s="1"/>
  <c r="M139" i="17"/>
  <c r="L139" i="17"/>
  <c r="K139" i="17"/>
  <c r="I139" i="17"/>
  <c r="D139" i="23" s="1"/>
  <c r="M138" i="17"/>
  <c r="L138" i="17"/>
  <c r="K138" i="17"/>
  <c r="I138" i="17"/>
  <c r="D138" i="23" s="1"/>
  <c r="M137" i="17"/>
  <c r="L137" i="17"/>
  <c r="K137" i="17"/>
  <c r="I137" i="17"/>
  <c r="D137" i="23" s="1"/>
  <c r="M136" i="17"/>
  <c r="L136" i="17"/>
  <c r="K136" i="17"/>
  <c r="I136" i="17"/>
  <c r="D136" i="23" s="1"/>
  <c r="M135" i="17"/>
  <c r="L135" i="17"/>
  <c r="K135" i="17"/>
  <c r="I135" i="17"/>
  <c r="D135" i="23" s="1"/>
  <c r="M134" i="17"/>
  <c r="L134" i="17"/>
  <c r="K134" i="17"/>
  <c r="I134" i="17"/>
  <c r="D134" i="23" s="1"/>
  <c r="M133" i="17"/>
  <c r="L133" i="17"/>
  <c r="K133" i="17"/>
  <c r="I133" i="17"/>
  <c r="D133" i="23" s="1"/>
  <c r="M132" i="17"/>
  <c r="L132" i="17"/>
  <c r="K132" i="17"/>
  <c r="I132" i="17"/>
  <c r="D132" i="23" s="1"/>
  <c r="M131" i="17"/>
  <c r="L131" i="17"/>
  <c r="K131" i="17"/>
  <c r="I131" i="17"/>
  <c r="D131" i="23" s="1"/>
  <c r="M130" i="17"/>
  <c r="L130" i="17"/>
  <c r="K130" i="17"/>
  <c r="I130" i="17"/>
  <c r="D130" i="23" s="1"/>
  <c r="M129" i="17"/>
  <c r="L129" i="17"/>
  <c r="K129" i="17"/>
  <c r="I129" i="17"/>
  <c r="D129" i="23" s="1"/>
  <c r="M128" i="17"/>
  <c r="L128" i="17"/>
  <c r="K128" i="17"/>
  <c r="I128" i="17"/>
  <c r="D128" i="23" s="1"/>
  <c r="M127" i="17"/>
  <c r="L127" i="17"/>
  <c r="K127" i="17"/>
  <c r="I127" i="17"/>
  <c r="D127" i="23" s="1"/>
  <c r="M126" i="17"/>
  <c r="L126" i="17"/>
  <c r="K126" i="17"/>
  <c r="I126" i="17"/>
  <c r="D126" i="23" s="1"/>
  <c r="M125" i="17"/>
  <c r="L125" i="17"/>
  <c r="K125" i="17"/>
  <c r="I125" i="17"/>
  <c r="D125" i="23" s="1"/>
  <c r="M124" i="17"/>
  <c r="L124" i="17"/>
  <c r="K124" i="17"/>
  <c r="I124" i="17"/>
  <c r="D124" i="23" s="1"/>
  <c r="M123" i="17"/>
  <c r="L123" i="17"/>
  <c r="K123" i="17"/>
  <c r="I123" i="17"/>
  <c r="D123" i="23" s="1"/>
  <c r="M122" i="17"/>
  <c r="L122" i="17"/>
  <c r="K122" i="17"/>
  <c r="I122" i="17"/>
  <c r="D122" i="23" s="1"/>
  <c r="M121" i="17"/>
  <c r="L121" i="17"/>
  <c r="K121" i="17"/>
  <c r="I121" i="17"/>
  <c r="D121" i="23" s="1"/>
  <c r="M120" i="17"/>
  <c r="L120" i="17"/>
  <c r="K120" i="17"/>
  <c r="I120" i="17"/>
  <c r="D120" i="23" s="1"/>
  <c r="M119" i="17"/>
  <c r="L119" i="17"/>
  <c r="K119" i="17"/>
  <c r="I119" i="17"/>
  <c r="D119" i="23" s="1"/>
  <c r="M118" i="17"/>
  <c r="L118" i="17"/>
  <c r="K118" i="17"/>
  <c r="I118" i="17"/>
  <c r="D118" i="23" s="1"/>
  <c r="M117" i="17"/>
  <c r="L117" i="17"/>
  <c r="K117" i="17"/>
  <c r="I117" i="17"/>
  <c r="D117" i="23" s="1"/>
  <c r="M116" i="17"/>
  <c r="L116" i="17"/>
  <c r="K116" i="17"/>
  <c r="I116" i="17"/>
  <c r="D116" i="23" s="1"/>
  <c r="M115" i="17"/>
  <c r="L115" i="17"/>
  <c r="K115" i="17"/>
  <c r="I115" i="17"/>
  <c r="D115" i="23" s="1"/>
  <c r="M114" i="17"/>
  <c r="L114" i="17"/>
  <c r="K114" i="17"/>
  <c r="I114" i="17"/>
  <c r="D114" i="23" s="1"/>
  <c r="M113" i="17"/>
  <c r="L113" i="17"/>
  <c r="K113" i="17"/>
  <c r="I113" i="17"/>
  <c r="D113" i="23" s="1"/>
  <c r="M112" i="17"/>
  <c r="L112" i="17"/>
  <c r="K112" i="17"/>
  <c r="I112" i="17"/>
  <c r="D112" i="23" s="1"/>
  <c r="M111" i="17"/>
  <c r="L111" i="17"/>
  <c r="K111" i="17"/>
  <c r="I111" i="17"/>
  <c r="D111" i="23" s="1"/>
  <c r="M110" i="17"/>
  <c r="L110" i="17"/>
  <c r="K110" i="17"/>
  <c r="I110" i="17"/>
  <c r="D110" i="23" s="1"/>
  <c r="M109" i="17"/>
  <c r="L109" i="17"/>
  <c r="K109" i="17"/>
  <c r="I109" i="17"/>
  <c r="D109" i="23" s="1"/>
  <c r="M108" i="17"/>
  <c r="L108" i="17"/>
  <c r="K108" i="17"/>
  <c r="I108" i="17"/>
  <c r="D108" i="23" s="1"/>
  <c r="M107" i="17"/>
  <c r="L107" i="17"/>
  <c r="K107" i="17"/>
  <c r="I107" i="17"/>
  <c r="D107" i="23" s="1"/>
  <c r="M106" i="17"/>
  <c r="L106" i="17"/>
  <c r="K106" i="17"/>
  <c r="I106" i="17"/>
  <c r="D106" i="23" s="1"/>
  <c r="M105" i="17"/>
  <c r="L105" i="17"/>
  <c r="K105" i="17"/>
  <c r="I105" i="17"/>
  <c r="D105" i="23" s="1"/>
  <c r="M104" i="17"/>
  <c r="L104" i="17"/>
  <c r="K104" i="17"/>
  <c r="I104" i="17"/>
  <c r="D104" i="23" s="1"/>
  <c r="M103" i="17"/>
  <c r="L103" i="17"/>
  <c r="K103" i="17"/>
  <c r="I103" i="17"/>
  <c r="D103" i="23" s="1"/>
  <c r="M102" i="17"/>
  <c r="L102" i="17"/>
  <c r="K102" i="17"/>
  <c r="I102" i="17"/>
  <c r="D102" i="23" s="1"/>
  <c r="M101" i="17"/>
  <c r="L101" i="17"/>
  <c r="K101" i="17"/>
  <c r="I101" i="17"/>
  <c r="D101" i="23" s="1"/>
  <c r="M100" i="17"/>
  <c r="L100" i="17"/>
  <c r="K100" i="17"/>
  <c r="I100" i="17"/>
  <c r="D100" i="23" s="1"/>
  <c r="M99" i="17"/>
  <c r="L99" i="17"/>
  <c r="K99" i="17"/>
  <c r="I99" i="17"/>
  <c r="D99" i="23" s="1"/>
  <c r="M98" i="17"/>
  <c r="L98" i="17"/>
  <c r="K98" i="17"/>
  <c r="I98" i="17"/>
  <c r="D98" i="23" s="1"/>
  <c r="M97" i="17"/>
  <c r="L97" i="17"/>
  <c r="K97" i="17"/>
  <c r="I97" i="17"/>
  <c r="D97" i="23" s="1"/>
  <c r="M96" i="17"/>
  <c r="L96" i="17"/>
  <c r="K96" i="17"/>
  <c r="I96" i="17"/>
  <c r="D96" i="23" s="1"/>
  <c r="M95" i="17"/>
  <c r="L95" i="17"/>
  <c r="K95" i="17"/>
  <c r="I95" i="17"/>
  <c r="D95" i="23" s="1"/>
  <c r="M94" i="17"/>
  <c r="L94" i="17"/>
  <c r="K94" i="17"/>
  <c r="I94" i="17"/>
  <c r="D94" i="23" s="1"/>
  <c r="M93" i="17"/>
  <c r="L93" i="17"/>
  <c r="K93" i="17"/>
  <c r="I93" i="17"/>
  <c r="D93" i="23" s="1"/>
  <c r="M92" i="17"/>
  <c r="L92" i="17"/>
  <c r="K92" i="17"/>
  <c r="I92" i="17"/>
  <c r="D92" i="23" s="1"/>
  <c r="M91" i="17"/>
  <c r="L91" i="17"/>
  <c r="K91" i="17"/>
  <c r="I91" i="17"/>
  <c r="D91" i="23" s="1"/>
  <c r="M90" i="17"/>
  <c r="L90" i="17"/>
  <c r="K90" i="17"/>
  <c r="I90" i="17"/>
  <c r="D90" i="23" s="1"/>
  <c r="M89" i="17"/>
  <c r="L89" i="17"/>
  <c r="K89" i="17"/>
  <c r="I89" i="17"/>
  <c r="D89" i="23" s="1"/>
  <c r="M88" i="17"/>
  <c r="L88" i="17"/>
  <c r="K88" i="17"/>
  <c r="I88" i="17"/>
  <c r="D88" i="23" s="1"/>
  <c r="M87" i="17"/>
  <c r="L87" i="17"/>
  <c r="K87" i="17"/>
  <c r="I87" i="17"/>
  <c r="D87" i="23" s="1"/>
  <c r="M86" i="17"/>
  <c r="L86" i="17"/>
  <c r="K86" i="17"/>
  <c r="I86" i="17"/>
  <c r="D86" i="23" s="1"/>
  <c r="M85" i="17"/>
  <c r="L85" i="17"/>
  <c r="K85" i="17"/>
  <c r="I85" i="17"/>
  <c r="D85" i="23" s="1"/>
  <c r="M84" i="17"/>
  <c r="L84" i="17"/>
  <c r="K84" i="17"/>
  <c r="I84" i="17"/>
  <c r="D84" i="23" s="1"/>
  <c r="M83" i="17"/>
  <c r="L83" i="17"/>
  <c r="K83" i="17"/>
  <c r="I83" i="17"/>
  <c r="D83" i="23" s="1"/>
  <c r="M82" i="17"/>
  <c r="L82" i="17"/>
  <c r="K82" i="17"/>
  <c r="I82" i="17"/>
  <c r="D82" i="23" s="1"/>
  <c r="M81" i="17"/>
  <c r="L81" i="17"/>
  <c r="K81" i="17"/>
  <c r="I81" i="17"/>
  <c r="D81" i="23" s="1"/>
  <c r="M80" i="17"/>
  <c r="L80" i="17"/>
  <c r="K80" i="17"/>
  <c r="I80" i="17"/>
  <c r="D80" i="23" s="1"/>
  <c r="M79" i="17"/>
  <c r="L79" i="17"/>
  <c r="K79" i="17"/>
  <c r="I79" i="17"/>
  <c r="D79" i="23" s="1"/>
  <c r="M78" i="17"/>
  <c r="L78" i="17"/>
  <c r="K78" i="17"/>
  <c r="I78" i="17"/>
  <c r="D78" i="23" s="1"/>
  <c r="M77" i="17"/>
  <c r="L77" i="17"/>
  <c r="K77" i="17"/>
  <c r="I77" i="17"/>
  <c r="D77" i="23" s="1"/>
  <c r="M76" i="17"/>
  <c r="L76" i="17"/>
  <c r="K76" i="17"/>
  <c r="I76" i="17"/>
  <c r="D76" i="23" s="1"/>
  <c r="M75" i="17"/>
  <c r="L75" i="17"/>
  <c r="K75" i="17"/>
  <c r="I75" i="17"/>
  <c r="D75" i="23" s="1"/>
  <c r="M74" i="17"/>
  <c r="L74" i="17"/>
  <c r="K74" i="17"/>
  <c r="I74" i="17"/>
  <c r="D74" i="23" s="1"/>
  <c r="M73" i="17"/>
  <c r="L73" i="17"/>
  <c r="K73" i="17"/>
  <c r="I73" i="17"/>
  <c r="D73" i="23" s="1"/>
  <c r="M72" i="17"/>
  <c r="L72" i="17"/>
  <c r="K72" i="17"/>
  <c r="I72" i="17"/>
  <c r="D72" i="23" s="1"/>
  <c r="M71" i="17"/>
  <c r="L71" i="17"/>
  <c r="K71" i="17"/>
  <c r="I71" i="17"/>
  <c r="D71" i="23" s="1"/>
  <c r="M70" i="17"/>
  <c r="L70" i="17"/>
  <c r="K70" i="17"/>
  <c r="I70" i="17"/>
  <c r="D70" i="23" s="1"/>
  <c r="M69" i="17"/>
  <c r="L69" i="17"/>
  <c r="K69" i="17"/>
  <c r="I69" i="17"/>
  <c r="D69" i="23" s="1"/>
  <c r="M68" i="17"/>
  <c r="L68" i="17"/>
  <c r="K68" i="17"/>
  <c r="I68" i="17"/>
  <c r="D68" i="23" s="1"/>
  <c r="M67" i="17"/>
  <c r="L67" i="17"/>
  <c r="K67" i="17"/>
  <c r="I67" i="17"/>
  <c r="D67" i="23" s="1"/>
  <c r="M66" i="17"/>
  <c r="L66" i="17"/>
  <c r="K66" i="17"/>
  <c r="I66" i="17"/>
  <c r="D66" i="23" s="1"/>
  <c r="M65" i="17"/>
  <c r="L65" i="17"/>
  <c r="K65" i="17"/>
  <c r="I65" i="17"/>
  <c r="D65" i="23" s="1"/>
  <c r="M64" i="17"/>
  <c r="L64" i="17"/>
  <c r="K64" i="17"/>
  <c r="I64" i="17"/>
  <c r="D64" i="23" s="1"/>
  <c r="M63" i="17"/>
  <c r="L63" i="17"/>
  <c r="K63" i="17"/>
  <c r="I63" i="17"/>
  <c r="D63" i="23" s="1"/>
  <c r="M62" i="17"/>
  <c r="L62" i="17"/>
  <c r="K62" i="17"/>
  <c r="I62" i="17"/>
  <c r="D62" i="23" s="1"/>
  <c r="M61" i="17"/>
  <c r="L61" i="17"/>
  <c r="K61" i="17"/>
  <c r="I61" i="17"/>
  <c r="D61" i="23" s="1"/>
  <c r="M60" i="17"/>
  <c r="L60" i="17"/>
  <c r="K60" i="17"/>
  <c r="I60" i="17"/>
  <c r="D60" i="23" s="1"/>
  <c r="M59" i="17"/>
  <c r="L59" i="17"/>
  <c r="K59" i="17"/>
  <c r="I59" i="17"/>
  <c r="D59" i="23" s="1"/>
  <c r="M58" i="17"/>
  <c r="L58" i="17"/>
  <c r="K58" i="17"/>
  <c r="I58" i="17"/>
  <c r="D58" i="23" s="1"/>
  <c r="M57" i="17"/>
  <c r="L57" i="17"/>
  <c r="K57" i="17"/>
  <c r="I57" i="17"/>
  <c r="D57" i="23" s="1"/>
  <c r="M56" i="17"/>
  <c r="L56" i="17"/>
  <c r="K56" i="17"/>
  <c r="I56" i="17"/>
  <c r="D56" i="23" s="1"/>
  <c r="M55" i="17"/>
  <c r="L55" i="17"/>
  <c r="K55" i="17"/>
  <c r="I55" i="17"/>
  <c r="D55" i="23" s="1"/>
  <c r="M54" i="17"/>
  <c r="L54" i="17"/>
  <c r="K54" i="17"/>
  <c r="I54" i="17"/>
  <c r="D54" i="23" s="1"/>
  <c r="M53" i="17"/>
  <c r="L53" i="17"/>
  <c r="K53" i="17"/>
  <c r="I53" i="17"/>
  <c r="D53" i="23" s="1"/>
  <c r="M52" i="17"/>
  <c r="L52" i="17"/>
  <c r="K52" i="17"/>
  <c r="I52" i="17"/>
  <c r="D52" i="23" s="1"/>
  <c r="M51" i="17"/>
  <c r="L51" i="17"/>
  <c r="K51" i="17"/>
  <c r="I51" i="17"/>
  <c r="D51" i="23" s="1"/>
  <c r="M50" i="17"/>
  <c r="L50" i="17"/>
  <c r="K50" i="17"/>
  <c r="M49" i="17"/>
  <c r="L49" i="17"/>
  <c r="K49" i="17"/>
  <c r="I49" i="17"/>
  <c r="D49" i="23" s="1"/>
  <c r="M48" i="17"/>
  <c r="L48" i="17"/>
  <c r="K48" i="17"/>
  <c r="I48" i="17"/>
  <c r="D48" i="23" s="1"/>
  <c r="M47" i="17"/>
  <c r="L47" i="17"/>
  <c r="K47" i="17"/>
  <c r="I47" i="17"/>
  <c r="D47" i="23" s="1"/>
  <c r="M46" i="17"/>
  <c r="L46" i="17"/>
  <c r="K46" i="17"/>
  <c r="I46" i="17"/>
  <c r="D46" i="23" s="1"/>
  <c r="M45" i="17"/>
  <c r="L45" i="17"/>
  <c r="K45" i="17"/>
  <c r="I45" i="17"/>
  <c r="D45" i="23" s="1"/>
  <c r="M44" i="17"/>
  <c r="L44" i="17"/>
  <c r="K44" i="17"/>
  <c r="I44" i="17"/>
  <c r="D44" i="23" s="1"/>
  <c r="M43" i="17"/>
  <c r="L43" i="17"/>
  <c r="K43" i="17"/>
  <c r="I43" i="17"/>
  <c r="D43" i="23" s="1"/>
  <c r="M42" i="17"/>
  <c r="L42" i="17"/>
  <c r="K42" i="17"/>
  <c r="I42" i="17"/>
  <c r="D42" i="23" s="1"/>
  <c r="M41" i="17"/>
  <c r="L41" i="17"/>
  <c r="K41" i="17"/>
  <c r="I41" i="17"/>
  <c r="D41" i="23" s="1"/>
  <c r="M40" i="17"/>
  <c r="L40" i="17"/>
  <c r="K40" i="17"/>
  <c r="I40" i="17"/>
  <c r="D40" i="23" s="1"/>
  <c r="H124" i="17"/>
  <c r="C124" i="23" s="1"/>
  <c r="F124" i="17"/>
  <c r="H123" i="17"/>
  <c r="C123" i="23" s="1"/>
  <c r="F123" i="17"/>
  <c r="H122" i="17"/>
  <c r="C122" i="23" s="1"/>
  <c r="F122" i="17"/>
  <c r="H121" i="17"/>
  <c r="C121" i="23" s="1"/>
  <c r="F121" i="17"/>
  <c r="H120" i="17"/>
  <c r="C120" i="23" s="1"/>
  <c r="F120" i="17"/>
  <c r="H119" i="17"/>
  <c r="C119" i="23" s="1"/>
  <c r="F119" i="17"/>
  <c r="H118" i="17"/>
  <c r="C118" i="23" s="1"/>
  <c r="F118" i="17"/>
  <c r="H117" i="17"/>
  <c r="C117" i="23" s="1"/>
  <c r="F117" i="17"/>
  <c r="P141" i="17"/>
  <c r="Q140" i="17"/>
  <c r="W139" i="17"/>
  <c r="J139" i="23" s="1"/>
  <c r="P137" i="17"/>
  <c r="Q136" i="17"/>
  <c r="W135" i="17"/>
  <c r="J135" i="23" s="1"/>
  <c r="P133" i="17"/>
  <c r="Q132" i="17"/>
  <c r="W131" i="17"/>
  <c r="J131" i="23" s="1"/>
  <c r="P129" i="17"/>
  <c r="Q128" i="17"/>
  <c r="W127" i="17"/>
  <c r="J127" i="23" s="1"/>
  <c r="P125" i="17"/>
  <c r="Q124" i="17"/>
  <c r="W123" i="17"/>
  <c r="J123" i="23" s="1"/>
  <c r="P121" i="17"/>
  <c r="Q120" i="17"/>
  <c r="W119" i="17"/>
  <c r="J119" i="23" s="1"/>
  <c r="P117" i="17"/>
  <c r="Q116" i="17"/>
  <c r="W115" i="17"/>
  <c r="J115" i="23" s="1"/>
  <c r="P113" i="17"/>
  <c r="Q112" i="17"/>
  <c r="W111" i="17"/>
  <c r="J111" i="23" s="1"/>
  <c r="P109" i="17"/>
  <c r="Q108" i="17"/>
  <c r="W107" i="17"/>
  <c r="J107" i="23" s="1"/>
  <c r="P105" i="17"/>
  <c r="Q104" i="17"/>
  <c r="W103" i="17"/>
  <c r="J103" i="23" s="1"/>
  <c r="P101" i="17"/>
  <c r="Q100" i="17"/>
  <c r="W99" i="17"/>
  <c r="J99" i="23" s="1"/>
  <c r="P97" i="17"/>
  <c r="Q96" i="17"/>
  <c r="W95" i="17"/>
  <c r="J95" i="23" s="1"/>
  <c r="P93" i="17"/>
  <c r="Q92" i="17"/>
  <c r="W91" i="17"/>
  <c r="J91" i="23" s="1"/>
  <c r="P89" i="17"/>
  <c r="Q88" i="17"/>
  <c r="W87" i="17"/>
  <c r="J87" i="23" s="1"/>
  <c r="P85" i="17"/>
  <c r="Q84" i="17"/>
  <c r="W83" i="17"/>
  <c r="J83" i="23" s="1"/>
  <c r="P81" i="17"/>
  <c r="Q80" i="17"/>
  <c r="W79" i="17"/>
  <c r="J79" i="23" s="1"/>
  <c r="P77" i="17"/>
  <c r="Q76" i="17"/>
  <c r="W75" i="17"/>
  <c r="J75" i="23" s="1"/>
  <c r="P73" i="17"/>
  <c r="Q72" i="17"/>
  <c r="W71" i="17"/>
  <c r="J71" i="23" s="1"/>
  <c r="P69" i="17"/>
  <c r="Q68" i="17"/>
  <c r="W67" i="17"/>
  <c r="J67" i="23" s="1"/>
  <c r="P65" i="17"/>
  <c r="Q64" i="17"/>
  <c r="W63" i="17"/>
  <c r="J63" i="23" s="1"/>
  <c r="P61" i="17"/>
  <c r="Q60" i="17"/>
  <c r="W59" i="17"/>
  <c r="J59" i="23" s="1"/>
  <c r="P57" i="17"/>
  <c r="Q56" i="17"/>
  <c r="W55" i="17"/>
  <c r="J55" i="23" s="1"/>
  <c r="P53" i="17"/>
  <c r="Q52" i="17"/>
  <c r="W51" i="17"/>
  <c r="J51" i="23" s="1"/>
  <c r="P49" i="17"/>
  <c r="Q48" i="17"/>
  <c r="W47" i="17"/>
  <c r="J47" i="23" s="1"/>
  <c r="P45" i="17"/>
  <c r="Q44" i="17"/>
  <c r="W43" i="17"/>
  <c r="J43" i="23" s="1"/>
  <c r="P41" i="17"/>
  <c r="Q40" i="17"/>
  <c r="W137" i="17"/>
  <c r="J137" i="23" s="1"/>
  <c r="P135" i="17"/>
  <c r="Q134" i="17"/>
  <c r="P131" i="17"/>
  <c r="Q130" i="17"/>
  <c r="W129" i="17"/>
  <c r="J129" i="23" s="1"/>
  <c r="W125" i="17"/>
  <c r="J125" i="23" s="1"/>
  <c r="W121" i="17"/>
  <c r="J121" i="23" s="1"/>
  <c r="P140" i="17"/>
  <c r="Q139" i="17"/>
  <c r="W138" i="17"/>
  <c r="J138" i="23" s="1"/>
  <c r="P136" i="17"/>
  <c r="Q135" i="17"/>
  <c r="W134" i="17"/>
  <c r="J134" i="23" s="1"/>
  <c r="P132" i="17"/>
  <c r="Q131" i="17"/>
  <c r="W130" i="17"/>
  <c r="J130" i="23" s="1"/>
  <c r="P128" i="17"/>
  <c r="Q127" i="17"/>
  <c r="W126" i="17"/>
  <c r="J126" i="23" s="1"/>
  <c r="P124" i="17"/>
  <c r="Q123" i="17"/>
  <c r="W122" i="17"/>
  <c r="J122" i="23" s="1"/>
  <c r="P120" i="17"/>
  <c r="Q119" i="17"/>
  <c r="W118" i="17"/>
  <c r="J118" i="23" s="1"/>
  <c r="P116" i="17"/>
  <c r="Q115" i="17"/>
  <c r="W114" i="17"/>
  <c r="J114" i="23" s="1"/>
  <c r="P112" i="17"/>
  <c r="Q111" i="17"/>
  <c r="W110" i="17"/>
  <c r="J110" i="23" s="1"/>
  <c r="P108" i="17"/>
  <c r="Q107" i="17"/>
  <c r="W106" i="17"/>
  <c r="J106" i="23" s="1"/>
  <c r="P104" i="17"/>
  <c r="Q103" i="17"/>
  <c r="W102" i="17"/>
  <c r="J102" i="23" s="1"/>
  <c r="P100" i="17"/>
  <c r="Q99" i="17"/>
  <c r="W98" i="17"/>
  <c r="J98" i="23" s="1"/>
  <c r="P96" i="17"/>
  <c r="Q95" i="17"/>
  <c r="W94" i="17"/>
  <c r="J94" i="23" s="1"/>
  <c r="P92" i="17"/>
  <c r="Q91" i="17"/>
  <c r="W90" i="17"/>
  <c r="J90" i="23" s="1"/>
  <c r="P88" i="17"/>
  <c r="Q87" i="17"/>
  <c r="W86" i="17"/>
  <c r="J86" i="23" s="1"/>
  <c r="P84" i="17"/>
  <c r="Q83" i="17"/>
  <c r="W82" i="17"/>
  <c r="J82" i="23" s="1"/>
  <c r="P80" i="17"/>
  <c r="Q79" i="17"/>
  <c r="W78" i="17"/>
  <c r="J78" i="23" s="1"/>
  <c r="P76" i="17"/>
  <c r="Q75" i="17"/>
  <c r="W74" i="17"/>
  <c r="J74" i="23" s="1"/>
  <c r="P72" i="17"/>
  <c r="Q71" i="17"/>
  <c r="W70" i="17"/>
  <c r="J70" i="23" s="1"/>
  <c r="P68" i="17"/>
  <c r="Q67" i="17"/>
  <c r="W66" i="17"/>
  <c r="J66" i="23" s="1"/>
  <c r="P64" i="17"/>
  <c r="Q63" i="17"/>
  <c r="W62" i="17"/>
  <c r="J62" i="23" s="1"/>
  <c r="P60" i="17"/>
  <c r="Q59" i="17"/>
  <c r="W58" i="17"/>
  <c r="J58" i="23" s="1"/>
  <c r="P56" i="17"/>
  <c r="Q55" i="17"/>
  <c r="W54" i="17"/>
  <c r="J54" i="23" s="1"/>
  <c r="P52" i="17"/>
  <c r="Q51" i="17"/>
  <c r="W50" i="17"/>
  <c r="J50" i="23" s="1"/>
  <c r="P48" i="17"/>
  <c r="Q47" i="17"/>
  <c r="W46" i="17"/>
  <c r="J46" i="23" s="1"/>
  <c r="P44" i="17"/>
  <c r="Q43" i="17"/>
  <c r="W42" i="17"/>
  <c r="J42" i="23" s="1"/>
  <c r="P40" i="17"/>
  <c r="W141" i="17"/>
  <c r="J141" i="23" s="1"/>
  <c r="P139" i="17"/>
  <c r="Q138" i="17"/>
  <c r="W133" i="17"/>
  <c r="J133" i="23" s="1"/>
  <c r="P127" i="17"/>
  <c r="Q126" i="17"/>
  <c r="P123" i="17"/>
  <c r="Q122" i="17"/>
  <c r="W132" i="17"/>
  <c r="J132" i="23" s="1"/>
  <c r="Q129" i="17"/>
  <c r="P126" i="17"/>
  <c r="P119" i="17"/>
  <c r="P118" i="17"/>
  <c r="Q117" i="17"/>
  <c r="P111" i="17"/>
  <c r="P110" i="17"/>
  <c r="Q109" i="17"/>
  <c r="P103" i="17"/>
  <c r="P102" i="17"/>
  <c r="Q101" i="17"/>
  <c r="P95" i="17"/>
  <c r="P94" i="17"/>
  <c r="Q93" i="17"/>
  <c r="P87" i="17"/>
  <c r="P86" i="17"/>
  <c r="Q85" i="17"/>
  <c r="P79" i="17"/>
  <c r="P78" i="17"/>
  <c r="Q77" i="17"/>
  <c r="P71" i="17"/>
  <c r="P70" i="17"/>
  <c r="Q69" i="17"/>
  <c r="P63" i="17"/>
  <c r="P62" i="17"/>
  <c r="Q61" i="17"/>
  <c r="P55" i="17"/>
  <c r="P54" i="17"/>
  <c r="Q53" i="17"/>
  <c r="P47" i="17"/>
  <c r="P46" i="17"/>
  <c r="Q45" i="17"/>
  <c r="Q137" i="17"/>
  <c r="W124" i="17"/>
  <c r="J124" i="23" s="1"/>
  <c r="Q121" i="17"/>
  <c r="P107" i="17"/>
  <c r="Q105" i="17"/>
  <c r="P98" i="17"/>
  <c r="Q97" i="17"/>
  <c r="P91" i="17"/>
  <c r="P90" i="17"/>
  <c r="P82" i="17"/>
  <c r="P75" i="17"/>
  <c r="P74" i="17"/>
  <c r="Q73" i="17"/>
  <c r="P67" i="17"/>
  <c r="P66" i="17"/>
  <c r="Q65" i="17"/>
  <c r="P50" i="17"/>
  <c r="P138" i="17"/>
  <c r="W128" i="17"/>
  <c r="J128" i="23" s="1"/>
  <c r="W117" i="17"/>
  <c r="J117" i="23" s="1"/>
  <c r="W116" i="17"/>
  <c r="J116" i="23" s="1"/>
  <c r="W109" i="17"/>
  <c r="J109" i="23" s="1"/>
  <c r="Q102" i="17"/>
  <c r="Q94" i="17"/>
  <c r="W93" i="17"/>
  <c r="J93" i="23" s="1"/>
  <c r="W92" i="17"/>
  <c r="J92" i="23" s="1"/>
  <c r="W77" i="17"/>
  <c r="J77" i="23" s="1"/>
  <c r="W76" i="17"/>
  <c r="J76" i="23" s="1"/>
  <c r="W69" i="17"/>
  <c r="J69" i="23" s="1"/>
  <c r="Q54" i="17"/>
  <c r="W53" i="17"/>
  <c r="J53" i="23" s="1"/>
  <c r="W52" i="17"/>
  <c r="J52" i="23" s="1"/>
  <c r="Q46" i="17"/>
  <c r="W45" i="17"/>
  <c r="J45" i="23" s="1"/>
  <c r="W44" i="17"/>
  <c r="J44" i="23" s="1"/>
  <c r="W136" i="17"/>
  <c r="J136" i="23" s="1"/>
  <c r="Q133" i="17"/>
  <c r="P130" i="17"/>
  <c r="W120" i="17"/>
  <c r="J120" i="23" s="1"/>
  <c r="Q114" i="17"/>
  <c r="W113" i="17"/>
  <c r="J113" i="23" s="1"/>
  <c r="W112" i="17"/>
  <c r="J112" i="23" s="1"/>
  <c r="Q106" i="17"/>
  <c r="W105" i="17"/>
  <c r="J105" i="23" s="1"/>
  <c r="W104" i="17"/>
  <c r="J104" i="23" s="1"/>
  <c r="Q98" i="17"/>
  <c r="W97" i="17"/>
  <c r="J97" i="23" s="1"/>
  <c r="W96" i="17"/>
  <c r="J96" i="23" s="1"/>
  <c r="Q90" i="17"/>
  <c r="W89" i="17"/>
  <c r="J89" i="23" s="1"/>
  <c r="W88" i="17"/>
  <c r="J88" i="23" s="1"/>
  <c r="Q82" i="17"/>
  <c r="W81" i="17"/>
  <c r="J81" i="23" s="1"/>
  <c r="W80" i="17"/>
  <c r="J80" i="23" s="1"/>
  <c r="Q74" i="17"/>
  <c r="W73" i="17"/>
  <c r="J73" i="23" s="1"/>
  <c r="W72" i="17"/>
  <c r="J72" i="23" s="1"/>
  <c r="Q66" i="17"/>
  <c r="W65" i="17"/>
  <c r="J65" i="23" s="1"/>
  <c r="W64" i="17"/>
  <c r="J64" i="23" s="1"/>
  <c r="Q58" i="17"/>
  <c r="W57" i="17"/>
  <c r="J57" i="23" s="1"/>
  <c r="W56" i="17"/>
  <c r="J56" i="23" s="1"/>
  <c r="Q50" i="17"/>
  <c r="W49" i="17"/>
  <c r="J49" i="23" s="1"/>
  <c r="W48" i="17"/>
  <c r="J48" i="23" s="1"/>
  <c r="Q42" i="17"/>
  <c r="W41" i="17"/>
  <c r="J41" i="23" s="1"/>
  <c r="W40" i="17"/>
  <c r="J40" i="23" s="1"/>
  <c r="W140" i="17"/>
  <c r="J140" i="23" s="1"/>
  <c r="P134" i="17"/>
  <c r="P115" i="17"/>
  <c r="P114" i="17"/>
  <c r="Q113" i="17"/>
  <c r="P106" i="17"/>
  <c r="P99" i="17"/>
  <c r="Q89" i="17"/>
  <c r="P83" i="17"/>
  <c r="Q81" i="17"/>
  <c r="P59" i="17"/>
  <c r="P58" i="17"/>
  <c r="Q57" i="17"/>
  <c r="P51" i="17"/>
  <c r="Q49" i="17"/>
  <c r="P43" i="17"/>
  <c r="P42" i="17"/>
  <c r="Q41" i="17"/>
  <c r="Q141" i="17"/>
  <c r="Q125" i="17"/>
  <c r="P122" i="17"/>
  <c r="Q118" i="17"/>
  <c r="Q110" i="17"/>
  <c r="W108" i="17"/>
  <c r="J108" i="23" s="1"/>
  <c r="W101" i="17"/>
  <c r="J101" i="23" s="1"/>
  <c r="W100" i="17"/>
  <c r="J100" i="23" s="1"/>
  <c r="Q86" i="17"/>
  <c r="W85" i="17"/>
  <c r="J85" i="23" s="1"/>
  <c r="W84" i="17"/>
  <c r="J84" i="23" s="1"/>
  <c r="Q78" i="17"/>
  <c r="Q70" i="17"/>
  <c r="W68" i="17"/>
  <c r="J68" i="23" s="1"/>
  <c r="Q62" i="17"/>
  <c r="W61" i="17"/>
  <c r="J61" i="23" s="1"/>
  <c r="W60" i="17"/>
  <c r="J60" i="23" s="1"/>
  <c r="Q39" i="17"/>
  <c r="P39" i="17"/>
  <c r="R137" i="18"/>
  <c r="R127" i="18"/>
  <c r="R78" i="18"/>
  <c r="R77" i="18"/>
  <c r="R76" i="18"/>
  <c r="R75" i="18"/>
  <c r="R90" i="18"/>
  <c r="R120" i="18"/>
  <c r="R119" i="18"/>
  <c r="R118" i="18"/>
  <c r="R117" i="18"/>
  <c r="R116" i="18"/>
  <c r="R115" i="18"/>
  <c r="R101" i="18"/>
  <c r="R133" i="18"/>
  <c r="R132" i="18"/>
  <c r="R92" i="18"/>
  <c r="R91" i="18"/>
  <c r="R99" i="18"/>
  <c r="R98" i="18"/>
  <c r="R96" i="18"/>
  <c r="R95" i="18"/>
  <c r="R94" i="18"/>
  <c r="R134" i="18"/>
  <c r="R63" i="18"/>
  <c r="R62" i="18"/>
  <c r="R66" i="18"/>
  <c r="R46" i="18"/>
  <c r="R97" i="18"/>
  <c r="R65" i="18"/>
  <c r="R45" i="18"/>
  <c r="R61" i="18"/>
  <c r="R60" i="18"/>
  <c r="R59" i="18"/>
  <c r="R58" i="18"/>
  <c r="R57" i="18"/>
  <c r="R56" i="18"/>
  <c r="R55" i="18"/>
  <c r="R54" i="18"/>
  <c r="R53" i="18"/>
  <c r="R107" i="18"/>
  <c r="R106" i="18"/>
  <c r="R85" i="18"/>
  <c r="R84" i="18"/>
  <c r="R35" i="18"/>
  <c r="O15" i="18"/>
  <c r="G15" i="18"/>
  <c r="R25" i="18"/>
  <c r="O24" i="18"/>
  <c r="G24" i="18"/>
  <c r="R5" i="18"/>
  <c r="O32" i="18"/>
  <c r="G32" i="18"/>
  <c r="R31" i="18"/>
  <c r="O34" i="18"/>
  <c r="G34" i="18"/>
  <c r="R29" i="18"/>
  <c r="O30" i="18"/>
  <c r="G30" i="18"/>
  <c r="R17" i="18"/>
  <c r="O20" i="18"/>
  <c r="G20" i="18"/>
  <c r="R13" i="18"/>
  <c r="O19" i="18"/>
  <c r="G19" i="18"/>
  <c r="R12" i="18"/>
  <c r="O14" i="18"/>
  <c r="G14" i="18"/>
  <c r="R22" i="18"/>
  <c r="O11" i="18"/>
  <c r="G11" i="18"/>
  <c r="R9" i="18"/>
  <c r="O18" i="18"/>
  <c r="G18" i="18"/>
  <c r="R27" i="18"/>
  <c r="O28" i="18"/>
  <c r="G28" i="18"/>
  <c r="R10" i="18"/>
  <c r="O8" i="18"/>
  <c r="G8" i="18"/>
  <c r="R6" i="18"/>
  <c r="O7" i="18"/>
  <c r="G7" i="18"/>
  <c r="R16" i="18"/>
  <c r="O23" i="18"/>
  <c r="R73" i="18"/>
  <c r="R136" i="18"/>
  <c r="R93" i="18"/>
  <c r="R72" i="18"/>
  <c r="R71" i="18"/>
  <c r="R70" i="18"/>
  <c r="R69" i="18"/>
  <c r="R68" i="18"/>
  <c r="R67" i="18"/>
  <c r="R81" i="18"/>
  <c r="R114" i="18"/>
  <c r="R124" i="18"/>
  <c r="R86" i="18"/>
  <c r="R110" i="18"/>
  <c r="R109" i="18"/>
  <c r="R121" i="18"/>
  <c r="R39" i="18"/>
  <c r="R80" i="18"/>
  <c r="R138" i="18"/>
  <c r="P35" i="18"/>
  <c r="L35" i="18"/>
  <c r="N15" i="18"/>
  <c r="P25" i="18"/>
  <c r="L25" i="18"/>
  <c r="N24" i="18"/>
  <c r="P5" i="18"/>
  <c r="L5" i="18"/>
  <c r="N32" i="18"/>
  <c r="P31" i="18"/>
  <c r="L31" i="18"/>
  <c r="N34" i="18"/>
  <c r="P29" i="18"/>
  <c r="L29" i="18"/>
  <c r="N30" i="18"/>
  <c r="P17" i="18"/>
  <c r="L17" i="18"/>
  <c r="N20" i="18"/>
  <c r="P13" i="18"/>
  <c r="L13" i="18"/>
  <c r="N19" i="18"/>
  <c r="P12" i="18"/>
  <c r="L12" i="18"/>
  <c r="N14" i="18"/>
  <c r="P22" i="18"/>
  <c r="L22" i="18"/>
  <c r="N11" i="18"/>
  <c r="P9" i="18"/>
  <c r="L9" i="18"/>
  <c r="N18" i="18"/>
  <c r="P27" i="18"/>
  <c r="L27" i="18"/>
  <c r="N28" i="18"/>
  <c r="P10" i="18"/>
  <c r="L10" i="18"/>
  <c r="N8" i="18"/>
  <c r="P6" i="18"/>
  <c r="L6" i="18"/>
  <c r="N7" i="18"/>
  <c r="P16" i="18"/>
  <c r="L16" i="18"/>
  <c r="N23" i="18"/>
  <c r="R83" i="18"/>
  <c r="R82" i="18"/>
  <c r="R64" i="18"/>
  <c r="R41" i="18"/>
  <c r="R44" i="18"/>
  <c r="R43" i="18"/>
  <c r="R126" i="18"/>
  <c r="O35" i="18"/>
  <c r="G35" i="18"/>
  <c r="R15" i="18"/>
  <c r="O25" i="18"/>
  <c r="G25" i="18"/>
  <c r="R24" i="18"/>
  <c r="O5" i="18"/>
  <c r="G5" i="18"/>
  <c r="R32" i="18"/>
  <c r="O31" i="18"/>
  <c r="L24" i="18"/>
  <c r="N5" i="18"/>
  <c r="L34" i="18"/>
  <c r="O29" i="18"/>
  <c r="P30" i="18"/>
  <c r="L20" i="18"/>
  <c r="O13" i="18"/>
  <c r="P19" i="18"/>
  <c r="L14" i="18"/>
  <c r="O22" i="18"/>
  <c r="P11" i="18"/>
  <c r="L18" i="18"/>
  <c r="O27" i="18"/>
  <c r="P28" i="18"/>
  <c r="L8" i="18"/>
  <c r="O6" i="18"/>
  <c r="P7" i="18"/>
  <c r="L23" i="18"/>
  <c r="O36" i="18"/>
  <c r="G36" i="18"/>
  <c r="R18" i="18"/>
  <c r="R8" i="18"/>
  <c r="G16" i="18"/>
  <c r="R23" i="18"/>
  <c r="R36" i="18"/>
  <c r="R51" i="18"/>
  <c r="R50" i="18"/>
  <c r="R49" i="18"/>
  <c r="R48" i="18"/>
  <c r="R79" i="18"/>
  <c r="R113" i="18"/>
  <c r="R112" i="18"/>
  <c r="R111" i="18"/>
  <c r="R42" i="18"/>
  <c r="R123" i="18"/>
  <c r="R122" i="18"/>
  <c r="R141" i="18"/>
  <c r="R140" i="18"/>
  <c r="N35" i="18"/>
  <c r="P24" i="18"/>
  <c r="P34" i="18"/>
  <c r="L30" i="18"/>
  <c r="O17" i="18"/>
  <c r="P20" i="18"/>
  <c r="L19" i="18"/>
  <c r="O12" i="18"/>
  <c r="P14" i="18"/>
  <c r="L11" i="18"/>
  <c r="O9" i="18"/>
  <c r="P18" i="18"/>
  <c r="L28" i="18"/>
  <c r="O10" i="18"/>
  <c r="P8" i="18"/>
  <c r="L7" i="18"/>
  <c r="O16" i="18"/>
  <c r="P23" i="18"/>
  <c r="R88" i="18"/>
  <c r="R130" i="18"/>
  <c r="R129" i="18"/>
  <c r="R128" i="18"/>
  <c r="R135" i="18"/>
  <c r="R47" i="18"/>
  <c r="R40" i="18"/>
  <c r="R100" i="18"/>
  <c r="P15" i="18"/>
  <c r="L32" i="18"/>
  <c r="N31" i="18"/>
  <c r="G29" i="18"/>
  <c r="R30" i="18"/>
  <c r="N17" i="18"/>
  <c r="G13" i="18"/>
  <c r="R19" i="18"/>
  <c r="N12" i="18"/>
  <c r="G22" i="18"/>
  <c r="R11" i="18"/>
  <c r="N9" i="18"/>
  <c r="G27" i="18"/>
  <c r="R28" i="18"/>
  <c r="N10" i="18"/>
  <c r="G6" i="18"/>
  <c r="R7" i="18"/>
  <c r="N16" i="18"/>
  <c r="P36" i="18"/>
  <c r="L36" i="18"/>
  <c r="L15" i="18"/>
  <c r="N25" i="18"/>
  <c r="P32" i="18"/>
  <c r="G31" i="18"/>
  <c r="R34" i="18"/>
  <c r="N29" i="18"/>
  <c r="G17" i="18"/>
  <c r="R20" i="18"/>
  <c r="N13" i="18"/>
  <c r="G12" i="18"/>
  <c r="R14" i="18"/>
  <c r="N22" i="18"/>
  <c r="G9" i="18"/>
  <c r="N27" i="18"/>
  <c r="G10" i="18"/>
  <c r="N6" i="18"/>
  <c r="G23" i="18"/>
  <c r="N36" i="18"/>
  <c r="W39" i="17"/>
  <c r="J39" i="23" s="1"/>
  <c r="G36" i="17"/>
  <c r="B36" i="23" s="1"/>
  <c r="G31" i="17"/>
  <c r="B31" i="23" s="1"/>
  <c r="G26" i="17"/>
  <c r="B26" i="23" s="1"/>
  <c r="G21" i="17"/>
  <c r="B21" i="23" s="1"/>
  <c r="G17" i="17"/>
  <c r="B17" i="23" s="1"/>
  <c r="G13" i="17"/>
  <c r="B13" i="23" s="1"/>
  <c r="G8" i="17"/>
  <c r="B8" i="23" s="1"/>
  <c r="N37" i="17"/>
  <c r="E37" i="23" s="1"/>
  <c r="N32" i="17"/>
  <c r="E32" i="23" s="1"/>
  <c r="N28" i="17"/>
  <c r="E28" i="23" s="1"/>
  <c r="N22" i="17"/>
  <c r="E22" i="23" s="1"/>
  <c r="N18" i="17"/>
  <c r="E18" i="23" s="1"/>
  <c r="N14" i="17"/>
  <c r="E14" i="23" s="1"/>
  <c r="N9" i="17"/>
  <c r="E9" i="23" s="1"/>
  <c r="N5" i="17"/>
  <c r="E5" i="23" s="1"/>
  <c r="W33" i="17"/>
  <c r="J33" i="23" s="1"/>
  <c r="W29" i="17"/>
  <c r="J29" i="23" s="1"/>
  <c r="W23" i="17"/>
  <c r="J23" i="23" s="1"/>
  <c r="W19" i="17"/>
  <c r="J19" i="23" s="1"/>
  <c r="W15" i="17"/>
  <c r="J15" i="23" s="1"/>
  <c r="W10" i="17"/>
  <c r="J10" i="23" s="1"/>
  <c r="W6" i="17"/>
  <c r="J6" i="23" s="1"/>
  <c r="P36" i="17"/>
  <c r="P33" i="17"/>
  <c r="P31" i="17"/>
  <c r="P29" i="17"/>
  <c r="P26" i="17"/>
  <c r="P23" i="17"/>
  <c r="P21" i="17"/>
  <c r="P19" i="17"/>
  <c r="P17" i="17"/>
  <c r="P15" i="17"/>
  <c r="P13" i="17"/>
  <c r="P10" i="17"/>
  <c r="P8" i="17"/>
  <c r="P6" i="17"/>
  <c r="G33" i="17"/>
  <c r="B33" i="23" s="1"/>
  <c r="G23" i="17"/>
  <c r="B23" i="23" s="1"/>
  <c r="G15" i="17"/>
  <c r="B15" i="23" s="1"/>
  <c r="G6" i="17"/>
  <c r="B6" i="23" s="1"/>
  <c r="N30" i="17"/>
  <c r="E30" i="23" s="1"/>
  <c r="N20" i="17"/>
  <c r="E20" i="23" s="1"/>
  <c r="N11" i="17"/>
  <c r="E11" i="23" s="1"/>
  <c r="W31" i="17"/>
  <c r="J31" i="23" s="1"/>
  <c r="W21" i="17"/>
  <c r="J21" i="23" s="1"/>
  <c r="W13" i="17"/>
  <c r="J13" i="23" s="1"/>
  <c r="P37" i="17"/>
  <c r="P32" i="17"/>
  <c r="P28" i="17"/>
  <c r="P22" i="17"/>
  <c r="P18" i="17"/>
  <c r="P14" i="17"/>
  <c r="P9" i="17"/>
  <c r="G37" i="17"/>
  <c r="B37" i="23" s="1"/>
  <c r="G22" i="17"/>
  <c r="B22" i="23" s="1"/>
  <c r="G14" i="17"/>
  <c r="B14" i="23" s="1"/>
  <c r="G5" i="17"/>
  <c r="B5" i="23" s="1"/>
  <c r="N29" i="17"/>
  <c r="E29" i="23" s="1"/>
  <c r="N19" i="17"/>
  <c r="E19" i="23" s="1"/>
  <c r="N10" i="17"/>
  <c r="E10" i="23" s="1"/>
  <c r="W30" i="17"/>
  <c r="J30" i="23" s="1"/>
  <c r="W20" i="17"/>
  <c r="J20" i="23" s="1"/>
  <c r="W11" i="17"/>
  <c r="J11" i="23" s="1"/>
  <c r="Q36" i="17"/>
  <c r="Q31" i="17"/>
  <c r="Q26" i="17"/>
  <c r="Q21" i="17"/>
  <c r="Q17" i="17"/>
  <c r="Q13" i="17"/>
  <c r="Q8" i="17"/>
  <c r="Q5" i="17"/>
  <c r="G34" i="17"/>
  <c r="B34" i="23" s="1"/>
  <c r="G30" i="17"/>
  <c r="B30" i="23" s="1"/>
  <c r="G24" i="17"/>
  <c r="B24" i="23" s="1"/>
  <c r="G20" i="17"/>
  <c r="B20" i="23" s="1"/>
  <c r="G16" i="17"/>
  <c r="B16" i="23" s="1"/>
  <c r="G11" i="17"/>
  <c r="B11" i="23" s="1"/>
  <c r="G7" i="17"/>
  <c r="B7" i="23" s="1"/>
  <c r="N36" i="17"/>
  <c r="E36" i="23" s="1"/>
  <c r="N31" i="17"/>
  <c r="E31" i="23" s="1"/>
  <c r="N26" i="17"/>
  <c r="E26" i="23" s="1"/>
  <c r="N21" i="17"/>
  <c r="E21" i="23" s="1"/>
  <c r="N17" i="17"/>
  <c r="E17" i="23" s="1"/>
  <c r="N13" i="17"/>
  <c r="E13" i="23" s="1"/>
  <c r="N8" i="17"/>
  <c r="E8" i="23" s="1"/>
  <c r="W37" i="17"/>
  <c r="J37" i="23" s="1"/>
  <c r="W32" i="17"/>
  <c r="J32" i="23" s="1"/>
  <c r="W28" i="17"/>
  <c r="J28" i="23" s="1"/>
  <c r="W22" i="17"/>
  <c r="J22" i="23" s="1"/>
  <c r="W18" i="17"/>
  <c r="J18" i="23" s="1"/>
  <c r="W14" i="17"/>
  <c r="J14" i="23" s="1"/>
  <c r="W9" i="17"/>
  <c r="J9" i="23" s="1"/>
  <c r="Q37" i="17"/>
  <c r="Q34" i="17"/>
  <c r="Q32" i="17"/>
  <c r="Q30" i="17"/>
  <c r="Q28" i="17"/>
  <c r="Q24" i="17"/>
  <c r="Q22" i="17"/>
  <c r="Q20" i="17"/>
  <c r="Q18" i="17"/>
  <c r="Q16" i="17"/>
  <c r="Q14" i="17"/>
  <c r="Q11" i="17"/>
  <c r="Q9" i="17"/>
  <c r="Q7" i="17"/>
  <c r="W5" i="17"/>
  <c r="J5" i="23" s="1"/>
  <c r="G29" i="17"/>
  <c r="B29" i="23" s="1"/>
  <c r="G19" i="17"/>
  <c r="B19" i="23" s="1"/>
  <c r="G10" i="17"/>
  <c r="B10" i="23" s="1"/>
  <c r="N34" i="17"/>
  <c r="E34" i="23" s="1"/>
  <c r="N24" i="17"/>
  <c r="E24" i="23" s="1"/>
  <c r="N16" i="17"/>
  <c r="E16" i="23" s="1"/>
  <c r="N7" i="17"/>
  <c r="E7" i="23" s="1"/>
  <c r="W36" i="17"/>
  <c r="J36" i="23" s="1"/>
  <c r="W26" i="17"/>
  <c r="J26" i="23" s="1"/>
  <c r="W17" i="17"/>
  <c r="J17" i="23" s="1"/>
  <c r="W8" i="17"/>
  <c r="J8" i="23" s="1"/>
  <c r="P34" i="17"/>
  <c r="P30" i="17"/>
  <c r="P24" i="17"/>
  <c r="P20" i="17"/>
  <c r="P16" i="17"/>
  <c r="P11" i="17"/>
  <c r="P7" i="17"/>
  <c r="G32" i="17"/>
  <c r="B32" i="23" s="1"/>
  <c r="G28" i="17"/>
  <c r="B28" i="23" s="1"/>
  <c r="G18" i="17"/>
  <c r="B18" i="23" s="1"/>
  <c r="G9" i="17"/>
  <c r="B9" i="23" s="1"/>
  <c r="N33" i="17"/>
  <c r="E33" i="23" s="1"/>
  <c r="N23" i="17"/>
  <c r="E23" i="23" s="1"/>
  <c r="N15" i="17"/>
  <c r="E15" i="23" s="1"/>
  <c r="N6" i="17"/>
  <c r="E6" i="23" s="1"/>
  <c r="W34" i="17"/>
  <c r="J34" i="23" s="1"/>
  <c r="W24" i="17"/>
  <c r="J24" i="23" s="1"/>
  <c r="W16" i="17"/>
  <c r="J16" i="23" s="1"/>
  <c r="W7" i="17"/>
  <c r="J7" i="23" s="1"/>
  <c r="Q33" i="17"/>
  <c r="Q29" i="17"/>
  <c r="Q23" i="17"/>
  <c r="Q19" i="17"/>
  <c r="Q15" i="17"/>
  <c r="Q10" i="17"/>
  <c r="Q6" i="17"/>
  <c r="Y3" i="5"/>
  <c r="O33" i="18"/>
  <c r="G33" i="18"/>
  <c r="O21" i="18"/>
  <c r="G21" i="18"/>
  <c r="O37" i="18"/>
  <c r="G37" i="18"/>
  <c r="R26" i="18"/>
  <c r="R105" i="18"/>
  <c r="R103" i="18"/>
  <c r="R139" i="18"/>
  <c r="R87" i="18"/>
  <c r="R52" i="18"/>
  <c r="R125" i="18"/>
  <c r="R37" i="18"/>
  <c r="O26" i="18"/>
  <c r="L33" i="18"/>
  <c r="P21" i="18"/>
  <c r="P37" i="18"/>
  <c r="N26" i="18"/>
  <c r="N33" i="18"/>
  <c r="N21" i="18"/>
  <c r="N37" i="18"/>
  <c r="P26" i="18"/>
  <c r="L26" i="18"/>
  <c r="R104" i="18"/>
  <c r="R102" i="18"/>
  <c r="R89" i="18"/>
  <c r="R74" i="18"/>
  <c r="R131" i="18"/>
  <c r="R108" i="18"/>
  <c r="R33" i="18"/>
  <c r="R21" i="18"/>
  <c r="G26" i="18"/>
  <c r="P33" i="18"/>
  <c r="L21" i="18"/>
  <c r="L37" i="18"/>
  <c r="G25" i="17"/>
  <c r="B25" i="23" s="1"/>
  <c r="W35" i="17"/>
  <c r="J35" i="23" s="1"/>
  <c r="W27" i="17"/>
  <c r="J27" i="23" s="1"/>
  <c r="Q12" i="17"/>
  <c r="G27" i="17"/>
  <c r="B27" i="23" s="1"/>
  <c r="W25" i="17"/>
  <c r="J25" i="23" s="1"/>
  <c r="Q27" i="17"/>
  <c r="N35" i="17"/>
  <c r="E35" i="23" s="1"/>
  <c r="N27" i="17"/>
  <c r="E27" i="23" s="1"/>
  <c r="P35" i="17"/>
  <c r="P25" i="17"/>
  <c r="G12" i="17"/>
  <c r="B12" i="23" s="1"/>
  <c r="N25" i="17"/>
  <c r="E25" i="23" s="1"/>
  <c r="P12" i="17"/>
  <c r="G35" i="17"/>
  <c r="B35" i="23" s="1"/>
  <c r="N12" i="17"/>
  <c r="E12" i="23" s="1"/>
  <c r="Q35" i="17"/>
  <c r="Q25" i="17"/>
  <c r="W12" i="17"/>
  <c r="J12" i="23" s="1"/>
  <c r="P27" i="17"/>
  <c r="G120" i="20"/>
  <c r="B120" i="20" s="1"/>
  <c r="K137" i="18"/>
  <c r="K127" i="18"/>
  <c r="K78" i="18"/>
  <c r="K77" i="18"/>
  <c r="K105" i="18"/>
  <c r="K104" i="18"/>
  <c r="K103" i="18"/>
  <c r="K102" i="18"/>
  <c r="K76" i="18"/>
  <c r="K75" i="18"/>
  <c r="K90" i="18"/>
  <c r="K120" i="18"/>
  <c r="K119" i="18"/>
  <c r="K118" i="18"/>
  <c r="K117" i="18"/>
  <c r="K116" i="18"/>
  <c r="K115" i="18"/>
  <c r="K101" i="18"/>
  <c r="K133" i="18"/>
  <c r="K132" i="18"/>
  <c r="K89" i="18"/>
  <c r="K88" i="18"/>
  <c r="K130" i="18"/>
  <c r="K129" i="18"/>
  <c r="K128" i="18"/>
  <c r="K135" i="18"/>
  <c r="K47" i="18"/>
  <c r="K40" i="18"/>
  <c r="K100" i="18"/>
  <c r="K139" i="18"/>
  <c r="K83" i="18"/>
  <c r="K82" i="18"/>
  <c r="K74" i="18"/>
  <c r="K73" i="18"/>
  <c r="K136" i="18"/>
  <c r="K93" i="18"/>
  <c r="K72" i="18"/>
  <c r="K71" i="18"/>
  <c r="K70" i="18"/>
  <c r="K69" i="18"/>
  <c r="K68" i="18"/>
  <c r="K67" i="18"/>
  <c r="K81" i="18"/>
  <c r="K114" i="18"/>
  <c r="K87" i="18"/>
  <c r="K92" i="18"/>
  <c r="K91" i="18"/>
  <c r="K99" i="18"/>
  <c r="K98" i="18"/>
  <c r="K96" i="18"/>
  <c r="K95" i="18"/>
  <c r="K94" i="18"/>
  <c r="K134" i="18"/>
  <c r="K63" i="18"/>
  <c r="K62" i="18"/>
  <c r="K66" i="18"/>
  <c r="K46" i="18"/>
  <c r="K97" i="18"/>
  <c r="K65" i="18"/>
  <c r="K45" i="18"/>
  <c r="K61" i="18"/>
  <c r="K60" i="18"/>
  <c r="K59" i="18"/>
  <c r="K58" i="18"/>
  <c r="K57" i="18"/>
  <c r="K56" i="18"/>
  <c r="K55" i="18"/>
  <c r="K54" i="18"/>
  <c r="K53" i="18"/>
  <c r="K52" i="18"/>
  <c r="K51" i="18"/>
  <c r="K50" i="18"/>
  <c r="K49" i="18"/>
  <c r="K48" i="18"/>
  <c r="K79" i="18"/>
  <c r="K113" i="18"/>
  <c r="K112" i="18"/>
  <c r="K111" i="18"/>
  <c r="K42" i="18"/>
  <c r="K123" i="18"/>
  <c r="K122" i="18"/>
  <c r="K141" i="18"/>
  <c r="K140" i="18"/>
  <c r="K131" i="18"/>
  <c r="K64" i="18"/>
  <c r="J137" i="18"/>
  <c r="J127" i="18"/>
  <c r="J78" i="18"/>
  <c r="J77" i="18"/>
  <c r="J105" i="18"/>
  <c r="J104" i="18"/>
  <c r="J103" i="18"/>
  <c r="J102" i="18"/>
  <c r="J76" i="18"/>
  <c r="J75" i="18"/>
  <c r="J90" i="18"/>
  <c r="J120" i="18"/>
  <c r="J119" i="18"/>
  <c r="J118" i="18"/>
  <c r="J117" i="18"/>
  <c r="J116" i="18"/>
  <c r="J115" i="18"/>
  <c r="J101" i="18"/>
  <c r="J133" i="18"/>
  <c r="J132" i="18"/>
  <c r="J89" i="18"/>
  <c r="J88" i="18"/>
  <c r="J130" i="18"/>
  <c r="J129" i="18"/>
  <c r="J128" i="18"/>
  <c r="J135" i="18"/>
  <c r="J47" i="18"/>
  <c r="J40" i="18"/>
  <c r="J100" i="18"/>
  <c r="J139" i="18"/>
  <c r="J83" i="18"/>
  <c r="J82" i="18"/>
  <c r="J74" i="18"/>
  <c r="J73" i="18"/>
  <c r="J136" i="18"/>
  <c r="J93" i="18"/>
  <c r="J72" i="18"/>
  <c r="J71" i="18"/>
  <c r="J70" i="18"/>
  <c r="J69" i="18"/>
  <c r="J68" i="18"/>
  <c r="J67" i="18"/>
  <c r="J81" i="18"/>
  <c r="J114" i="18"/>
  <c r="J87" i="18"/>
  <c r="J92" i="18"/>
  <c r="J91" i="18"/>
  <c r="J99" i="18"/>
  <c r="J98" i="18"/>
  <c r="J96" i="18"/>
  <c r="J95" i="18"/>
  <c r="J94" i="18"/>
  <c r="J134" i="18"/>
  <c r="J63" i="18"/>
  <c r="J62" i="18"/>
  <c r="J66" i="18"/>
  <c r="J46" i="18"/>
  <c r="J97" i="18"/>
  <c r="J65" i="18"/>
  <c r="J45" i="18"/>
  <c r="J61" i="18"/>
  <c r="J60" i="18"/>
  <c r="J59" i="18"/>
  <c r="J58" i="18"/>
  <c r="J57" i="18"/>
  <c r="J56" i="18"/>
  <c r="J55" i="18"/>
  <c r="J54" i="18"/>
  <c r="J53" i="18"/>
  <c r="J52" i="18"/>
  <c r="J51" i="18"/>
  <c r="J50" i="18"/>
  <c r="J49" i="18"/>
  <c r="J48" i="18"/>
  <c r="J79" i="18"/>
  <c r="J113" i="18"/>
  <c r="J112" i="18"/>
  <c r="J111" i="18"/>
  <c r="J42" i="18"/>
  <c r="J123" i="18"/>
  <c r="J122" i="18"/>
  <c r="J141" i="18"/>
  <c r="J140" i="18"/>
  <c r="J131" i="18"/>
  <c r="J64" i="18"/>
  <c r="I137" i="18"/>
  <c r="I78" i="18"/>
  <c r="I105" i="18"/>
  <c r="I103" i="18"/>
  <c r="I76" i="18"/>
  <c r="I90" i="18"/>
  <c r="I119" i="18"/>
  <c r="I117" i="18"/>
  <c r="I115" i="18"/>
  <c r="I133" i="18"/>
  <c r="I89" i="18"/>
  <c r="I130" i="18"/>
  <c r="I128" i="18"/>
  <c r="I47" i="18"/>
  <c r="I100" i="18"/>
  <c r="I83" i="18"/>
  <c r="I74" i="18"/>
  <c r="I136" i="18"/>
  <c r="I72" i="18"/>
  <c r="I70" i="18"/>
  <c r="I68" i="18"/>
  <c r="I81" i="18"/>
  <c r="I87" i="18"/>
  <c r="I91" i="18"/>
  <c r="I98" i="18"/>
  <c r="I95" i="18"/>
  <c r="I134" i="18"/>
  <c r="I62" i="18"/>
  <c r="I46" i="18"/>
  <c r="I65" i="18"/>
  <c r="I61" i="18"/>
  <c r="I59" i="18"/>
  <c r="I57" i="18"/>
  <c r="I55" i="18"/>
  <c r="I53" i="18"/>
  <c r="I51" i="18"/>
  <c r="I49" i="18"/>
  <c r="I79" i="18"/>
  <c r="I112" i="18"/>
  <c r="I42" i="18"/>
  <c r="I122" i="18"/>
  <c r="I140" i="18"/>
  <c r="I64" i="18"/>
  <c r="I41" i="18"/>
  <c r="I44" i="18"/>
  <c r="I43" i="18"/>
  <c r="I126" i="18"/>
  <c r="I125" i="18"/>
  <c r="I124" i="18"/>
  <c r="I86" i="18"/>
  <c r="I110" i="18"/>
  <c r="I109" i="18"/>
  <c r="I121" i="18"/>
  <c r="I39" i="18"/>
  <c r="I80" i="18"/>
  <c r="I138" i="18"/>
  <c r="I108" i="18"/>
  <c r="I107" i="18"/>
  <c r="I106" i="18"/>
  <c r="I85" i="18"/>
  <c r="I84" i="18"/>
  <c r="J35" i="18"/>
  <c r="H15" i="18"/>
  <c r="J33" i="18"/>
  <c r="H25" i="18"/>
  <c r="J24" i="18"/>
  <c r="H5" i="18"/>
  <c r="J32" i="18"/>
  <c r="H31" i="18"/>
  <c r="J34" i="18"/>
  <c r="H29" i="18"/>
  <c r="J21" i="18"/>
  <c r="H30" i="18"/>
  <c r="J37" i="18"/>
  <c r="H17" i="18"/>
  <c r="J20" i="18"/>
  <c r="H13" i="18"/>
  <c r="J19" i="18"/>
  <c r="H137" i="18"/>
  <c r="H78" i="18"/>
  <c r="H105" i="18"/>
  <c r="H103" i="18"/>
  <c r="H76" i="18"/>
  <c r="H90" i="18"/>
  <c r="H119" i="18"/>
  <c r="H117" i="18"/>
  <c r="H115" i="18"/>
  <c r="H133" i="18"/>
  <c r="H89" i="18"/>
  <c r="H130" i="18"/>
  <c r="H128" i="18"/>
  <c r="H47" i="18"/>
  <c r="H100" i="18"/>
  <c r="H83" i="18"/>
  <c r="H74" i="18"/>
  <c r="H136" i="18"/>
  <c r="H72" i="18"/>
  <c r="H70" i="18"/>
  <c r="H68" i="18"/>
  <c r="H81" i="18"/>
  <c r="H87" i="18"/>
  <c r="H91" i="18"/>
  <c r="H98" i="18"/>
  <c r="H95" i="18"/>
  <c r="H134" i="18"/>
  <c r="H62" i="18"/>
  <c r="H46" i="18"/>
  <c r="H65" i="18"/>
  <c r="H61" i="18"/>
  <c r="H59" i="18"/>
  <c r="H57" i="18"/>
  <c r="H55" i="18"/>
  <c r="H53" i="18"/>
  <c r="H51" i="18"/>
  <c r="H49" i="18"/>
  <c r="H79" i="18"/>
  <c r="H112" i="18"/>
  <c r="H42" i="18"/>
  <c r="H122" i="18"/>
  <c r="H140" i="18"/>
  <c r="H64" i="18"/>
  <c r="H41" i="18"/>
  <c r="H44" i="18"/>
  <c r="H43" i="18"/>
  <c r="H126" i="18"/>
  <c r="H125" i="18"/>
  <c r="H124" i="18"/>
  <c r="H86" i="18"/>
  <c r="H110" i="18"/>
  <c r="H109" i="18"/>
  <c r="H121" i="18"/>
  <c r="H39" i="18"/>
  <c r="H80" i="18"/>
  <c r="H138" i="18"/>
  <c r="H108" i="18"/>
  <c r="H107" i="18"/>
  <c r="H106" i="18"/>
  <c r="H85" i="18"/>
  <c r="H84" i="18"/>
  <c r="I35" i="18"/>
  <c r="K15" i="18"/>
  <c r="I33" i="18"/>
  <c r="K25" i="18"/>
  <c r="I24" i="18"/>
  <c r="K5" i="18"/>
  <c r="I32" i="18"/>
  <c r="K31" i="18"/>
  <c r="I34" i="18"/>
  <c r="K29" i="18"/>
  <c r="I21" i="18"/>
  <c r="K30" i="18"/>
  <c r="I37" i="18"/>
  <c r="K17" i="18"/>
  <c r="I20" i="18"/>
  <c r="K13" i="18"/>
  <c r="I19" i="18"/>
  <c r="K12" i="18"/>
  <c r="I14" i="18"/>
  <c r="K22" i="18"/>
  <c r="I11" i="18"/>
  <c r="K9" i="18"/>
  <c r="I18" i="18"/>
  <c r="K27" i="18"/>
  <c r="I127" i="18"/>
  <c r="I104" i="18"/>
  <c r="I75" i="18"/>
  <c r="I118" i="18"/>
  <c r="I101" i="18"/>
  <c r="I88" i="18"/>
  <c r="I135" i="18"/>
  <c r="I139" i="18"/>
  <c r="I73" i="18"/>
  <c r="I71" i="18"/>
  <c r="I67" i="18"/>
  <c r="I92" i="18"/>
  <c r="I96" i="18"/>
  <c r="I63" i="18"/>
  <c r="I97" i="18"/>
  <c r="I60" i="18"/>
  <c r="I56" i="18"/>
  <c r="I52" i="18"/>
  <c r="I48" i="18"/>
  <c r="I111" i="18"/>
  <c r="I141" i="18"/>
  <c r="K41" i="18"/>
  <c r="K43" i="18"/>
  <c r="K125" i="18"/>
  <c r="K86" i="18"/>
  <c r="K109" i="18"/>
  <c r="K39" i="18"/>
  <c r="K138" i="18"/>
  <c r="K107" i="18"/>
  <c r="K85" i="18"/>
  <c r="H14" i="18"/>
  <c r="I22" i="18"/>
  <c r="K11" i="18"/>
  <c r="H18" i="18"/>
  <c r="I27" i="18"/>
  <c r="K28" i="18"/>
  <c r="I26" i="18"/>
  <c r="K10" i="18"/>
  <c r="I8" i="18"/>
  <c r="K6" i="18"/>
  <c r="I7" i="18"/>
  <c r="K16" i="18"/>
  <c r="I23" i="18"/>
  <c r="H36" i="18"/>
  <c r="I93" i="18"/>
  <c r="I99" i="18"/>
  <c r="I66" i="18"/>
  <c r="I58" i="18"/>
  <c r="I50" i="18"/>
  <c r="I131" i="18"/>
  <c r="K126" i="18"/>
  <c r="K110" i="18"/>
  <c r="K80" i="18"/>
  <c r="K106" i="18"/>
  <c r="H35" i="18"/>
  <c r="I25" i="18"/>
  <c r="I5" i="18"/>
  <c r="I31" i="18"/>
  <c r="I29" i="18"/>
  <c r="I30" i="18"/>
  <c r="I17" i="18"/>
  <c r="I13" i="18"/>
  <c r="I12" i="18"/>
  <c r="H11" i="18"/>
  <c r="K18" i="18"/>
  <c r="I28" i="18"/>
  <c r="I10" i="18"/>
  <c r="K7" i="18"/>
  <c r="I16" i="18"/>
  <c r="H120" i="18"/>
  <c r="H132" i="18"/>
  <c r="H40" i="18"/>
  <c r="H93" i="18"/>
  <c r="H114" i="18"/>
  <c r="H94" i="18"/>
  <c r="H45" i="18"/>
  <c r="H54" i="18"/>
  <c r="H113" i="18"/>
  <c r="H131" i="18"/>
  <c r="J126" i="18"/>
  <c r="J110" i="18"/>
  <c r="J80" i="18"/>
  <c r="J106" i="18"/>
  <c r="J14" i="18"/>
  <c r="H9" i="18"/>
  <c r="J27" i="18"/>
  <c r="J26" i="18"/>
  <c r="H10" i="18"/>
  <c r="H6" i="18"/>
  <c r="H16" i="18"/>
  <c r="H127" i="18"/>
  <c r="H104" i="18"/>
  <c r="H75" i="18"/>
  <c r="H118" i="18"/>
  <c r="H101" i="18"/>
  <c r="H88" i="18"/>
  <c r="H135" i="18"/>
  <c r="H139" i="18"/>
  <c r="H73" i="18"/>
  <c r="H71" i="18"/>
  <c r="H67" i="18"/>
  <c r="H92" i="18"/>
  <c r="H96" i="18"/>
  <c r="H63" i="18"/>
  <c r="H97" i="18"/>
  <c r="H60" i="18"/>
  <c r="H56" i="18"/>
  <c r="H52" i="18"/>
  <c r="H48" i="18"/>
  <c r="H111" i="18"/>
  <c r="H141" i="18"/>
  <c r="J41" i="18"/>
  <c r="J43" i="18"/>
  <c r="J125" i="18"/>
  <c r="J86" i="18"/>
  <c r="J109" i="18"/>
  <c r="J39" i="18"/>
  <c r="J138" i="18"/>
  <c r="J107" i="18"/>
  <c r="J85" i="18"/>
  <c r="K35" i="18"/>
  <c r="J15" i="18"/>
  <c r="K33" i="18"/>
  <c r="J25" i="18"/>
  <c r="K24" i="18"/>
  <c r="J5" i="18"/>
  <c r="K32" i="18"/>
  <c r="J31" i="18"/>
  <c r="K34" i="18"/>
  <c r="J29" i="18"/>
  <c r="K21" i="18"/>
  <c r="J30" i="18"/>
  <c r="K37" i="18"/>
  <c r="J17" i="18"/>
  <c r="K20" i="18"/>
  <c r="J13" i="18"/>
  <c r="K19" i="18"/>
  <c r="J12" i="18"/>
  <c r="H22" i="18"/>
  <c r="J11" i="18"/>
  <c r="J9" i="18"/>
  <c r="H27" i="18"/>
  <c r="J28" i="18"/>
  <c r="H26" i="18"/>
  <c r="J10" i="18"/>
  <c r="H8" i="18"/>
  <c r="J6" i="18"/>
  <c r="H7" i="18"/>
  <c r="J16" i="18"/>
  <c r="H23" i="18"/>
  <c r="K36" i="18"/>
  <c r="I77" i="18"/>
  <c r="I102" i="18"/>
  <c r="I120" i="18"/>
  <c r="I116" i="18"/>
  <c r="I132" i="18"/>
  <c r="I129" i="18"/>
  <c r="I40" i="18"/>
  <c r="I82" i="18"/>
  <c r="I69" i="18"/>
  <c r="I114" i="18"/>
  <c r="I94" i="18"/>
  <c r="I45" i="18"/>
  <c r="I54" i="18"/>
  <c r="I113" i="18"/>
  <c r="I123" i="18"/>
  <c r="K44" i="18"/>
  <c r="K124" i="18"/>
  <c r="K121" i="18"/>
  <c r="K108" i="18"/>
  <c r="K84" i="18"/>
  <c r="I15" i="18"/>
  <c r="H33" i="18"/>
  <c r="H24" i="18"/>
  <c r="H32" i="18"/>
  <c r="H34" i="18"/>
  <c r="H21" i="18"/>
  <c r="H37" i="18"/>
  <c r="H20" i="18"/>
  <c r="H19" i="18"/>
  <c r="K14" i="18"/>
  <c r="I9" i="18"/>
  <c r="K26" i="18"/>
  <c r="K8" i="18"/>
  <c r="I6" i="18"/>
  <c r="K23" i="18"/>
  <c r="J36" i="18"/>
  <c r="H77" i="18"/>
  <c r="H102" i="18"/>
  <c r="H116" i="18"/>
  <c r="H129" i="18"/>
  <c r="H82" i="18"/>
  <c r="H69" i="18"/>
  <c r="H99" i="18"/>
  <c r="H66" i="18"/>
  <c r="H58" i="18"/>
  <c r="H50" i="18"/>
  <c r="H123" i="18"/>
  <c r="J44" i="18"/>
  <c r="J124" i="18"/>
  <c r="J121" i="18"/>
  <c r="J108" i="18"/>
  <c r="J84" i="18"/>
  <c r="H12" i="18"/>
  <c r="J22" i="18"/>
  <c r="J18" i="18"/>
  <c r="H28" i="18"/>
  <c r="J8" i="18"/>
  <c r="J7" i="18"/>
  <c r="J23" i="18"/>
  <c r="I36" i="18"/>
  <c r="I39" i="17"/>
  <c r="D39" i="23" s="1"/>
  <c r="K39" i="17"/>
  <c r="L37" i="17"/>
  <c r="K36" i="17"/>
  <c r="M34" i="17"/>
  <c r="L33" i="17"/>
  <c r="K32" i="17"/>
  <c r="M30" i="17"/>
  <c r="L29" i="17"/>
  <c r="K28" i="17"/>
  <c r="M26" i="17"/>
  <c r="L25" i="17"/>
  <c r="K24" i="17"/>
  <c r="M22" i="17"/>
  <c r="L21" i="17"/>
  <c r="K20" i="17"/>
  <c r="M18" i="17"/>
  <c r="L17" i="17"/>
  <c r="K16" i="17"/>
  <c r="M14" i="17"/>
  <c r="L13" i="17"/>
  <c r="K12" i="17"/>
  <c r="M10" i="17"/>
  <c r="L9" i="17"/>
  <c r="K8" i="17"/>
  <c r="M6" i="17"/>
  <c r="L5" i="17"/>
  <c r="M37" i="17"/>
  <c r="M35" i="17"/>
  <c r="K34" i="17"/>
  <c r="L32" i="17"/>
  <c r="L30" i="17"/>
  <c r="M28" i="17"/>
  <c r="K27" i="17"/>
  <c r="K25" i="17"/>
  <c r="L23" i="17"/>
  <c r="M21" i="17"/>
  <c r="M19" i="17"/>
  <c r="K18" i="17"/>
  <c r="L16" i="17"/>
  <c r="L14" i="17"/>
  <c r="M12" i="17"/>
  <c r="K11" i="17"/>
  <c r="K9" i="17"/>
  <c r="L7" i="17"/>
  <c r="M5" i="17"/>
  <c r="I36" i="17"/>
  <c r="D36" i="23" s="1"/>
  <c r="I32" i="17"/>
  <c r="D32" i="23" s="1"/>
  <c r="I28" i="17"/>
  <c r="D28" i="23" s="1"/>
  <c r="I24" i="17"/>
  <c r="D24" i="23" s="1"/>
  <c r="M39" i="17"/>
  <c r="K37" i="17"/>
  <c r="L35" i="17"/>
  <c r="M33" i="17"/>
  <c r="M31" i="17"/>
  <c r="K30" i="17"/>
  <c r="L28" i="17"/>
  <c r="L26" i="17"/>
  <c r="M24" i="17"/>
  <c r="K23" i="17"/>
  <c r="K21" i="17"/>
  <c r="L19" i="17"/>
  <c r="M17" i="17"/>
  <c r="M15" i="17"/>
  <c r="K14" i="17"/>
  <c r="L12" i="17"/>
  <c r="L10" i="17"/>
  <c r="M8" i="17"/>
  <c r="K7" i="17"/>
  <c r="K5" i="17"/>
  <c r="I35" i="17"/>
  <c r="D35" i="23" s="1"/>
  <c r="I31" i="17"/>
  <c r="D31" i="23" s="1"/>
  <c r="I27" i="17"/>
  <c r="D27" i="23" s="1"/>
  <c r="I23" i="17"/>
  <c r="D23" i="23" s="1"/>
  <c r="I19" i="17"/>
  <c r="D19" i="23" s="1"/>
  <c r="I15" i="17"/>
  <c r="D15" i="23" s="1"/>
  <c r="I11" i="17"/>
  <c r="D11" i="23" s="1"/>
  <c r="I7" i="17"/>
  <c r="D7" i="23" s="1"/>
  <c r="L39" i="17"/>
  <c r="M36" i="17"/>
  <c r="K35" i="17"/>
  <c r="K33" i="17"/>
  <c r="L31" i="17"/>
  <c r="M29" i="17"/>
  <c r="M27" i="17"/>
  <c r="K26" i="17"/>
  <c r="L24" i="17"/>
  <c r="L22" i="17"/>
  <c r="M20" i="17"/>
  <c r="K19" i="17"/>
  <c r="K17" i="17"/>
  <c r="L15" i="17"/>
  <c r="M13" i="17"/>
  <c r="M11" i="17"/>
  <c r="K10" i="17"/>
  <c r="L8" i="17"/>
  <c r="L6" i="17"/>
  <c r="I5" i="17"/>
  <c r="D5" i="23" s="1"/>
  <c r="I34" i="17"/>
  <c r="D34" i="23" s="1"/>
  <c r="I30" i="17"/>
  <c r="D30" i="23" s="1"/>
  <c r="I26" i="17"/>
  <c r="D26" i="23" s="1"/>
  <c r="I22" i="17"/>
  <c r="D22" i="23" s="1"/>
  <c r="I18" i="17"/>
  <c r="D18" i="23" s="1"/>
  <c r="I14" i="17"/>
  <c r="D14" i="23" s="1"/>
  <c r="I10" i="17"/>
  <c r="D10" i="23" s="1"/>
  <c r="I6" i="17"/>
  <c r="D6" i="23" s="1"/>
  <c r="L34" i="17"/>
  <c r="L27" i="17"/>
  <c r="L20" i="17"/>
  <c r="K13" i="17"/>
  <c r="K6" i="17"/>
  <c r="I25" i="17"/>
  <c r="D25" i="23" s="1"/>
  <c r="I16" i="17"/>
  <c r="D16" i="23" s="1"/>
  <c r="I8" i="17"/>
  <c r="D8" i="23" s="1"/>
  <c r="K31" i="17"/>
  <c r="I33" i="17"/>
  <c r="D33" i="23" s="1"/>
  <c r="I12" i="17"/>
  <c r="D12" i="23" s="1"/>
  <c r="K22" i="17"/>
  <c r="M7" i="17"/>
  <c r="I9" i="17"/>
  <c r="D9" i="23" s="1"/>
  <c r="M32" i="17"/>
  <c r="M25" i="17"/>
  <c r="L18" i="17"/>
  <c r="L11" i="17"/>
  <c r="I37" i="17"/>
  <c r="D37" i="23" s="1"/>
  <c r="I21" i="17"/>
  <c r="D21" i="23" s="1"/>
  <c r="I13" i="17"/>
  <c r="D13" i="23" s="1"/>
  <c r="M23" i="17"/>
  <c r="M16" i="17"/>
  <c r="M9" i="17"/>
  <c r="I20" i="17"/>
  <c r="D20" i="23" s="1"/>
  <c r="L36" i="17"/>
  <c r="K29" i="17"/>
  <c r="K15" i="17"/>
  <c r="I29" i="17"/>
  <c r="D29" i="23" s="1"/>
  <c r="I17" i="17"/>
  <c r="D17" i="23" s="1"/>
  <c r="B123" i="13"/>
  <c r="B122" i="13"/>
  <c r="B121" i="13"/>
  <c r="B120" i="13"/>
  <c r="B119" i="13"/>
  <c r="B118" i="13"/>
  <c r="B117" i="13"/>
  <c r="B116" i="13"/>
  <c r="B115" i="13"/>
  <c r="B114" i="13"/>
  <c r="B113" i="13"/>
  <c r="B112" i="13"/>
  <c r="B111" i="13"/>
  <c r="B110" i="13"/>
  <c r="B109" i="13"/>
  <c r="B108" i="13"/>
  <c r="B107" i="13"/>
  <c r="B106" i="13"/>
  <c r="B105" i="13"/>
  <c r="B104" i="13"/>
  <c r="B103" i="13"/>
  <c r="B102" i="13"/>
  <c r="B101" i="13"/>
  <c r="B100" i="13"/>
  <c r="B99" i="13"/>
  <c r="B98" i="13"/>
  <c r="B97" i="13"/>
  <c r="B96" i="13"/>
  <c r="B95" i="13"/>
  <c r="B94" i="13"/>
  <c r="B93" i="13"/>
  <c r="B92" i="13"/>
  <c r="B91" i="13"/>
  <c r="B90" i="13"/>
  <c r="B89" i="13"/>
  <c r="B88" i="13"/>
  <c r="B87" i="13"/>
  <c r="B86" i="13"/>
  <c r="B85" i="13"/>
  <c r="B84" i="13"/>
  <c r="B83" i="13"/>
  <c r="B82" i="13"/>
  <c r="B81" i="13"/>
  <c r="B80" i="13"/>
  <c r="B79" i="13"/>
  <c r="B78" i="13"/>
  <c r="B77" i="13"/>
  <c r="B76" i="13"/>
  <c r="B75" i="13"/>
  <c r="B74" i="13"/>
  <c r="B73" i="13"/>
  <c r="B72" i="13"/>
  <c r="B71" i="13"/>
  <c r="B70" i="13"/>
  <c r="B69" i="13"/>
  <c r="B68" i="13"/>
  <c r="B67" i="13"/>
  <c r="B66" i="13"/>
  <c r="B65" i="13"/>
  <c r="B64" i="13"/>
  <c r="B63" i="13"/>
  <c r="B62" i="13"/>
  <c r="B61" i="13"/>
  <c r="B60" i="13"/>
  <c r="B59" i="13"/>
  <c r="B58" i="13"/>
  <c r="B57" i="13"/>
  <c r="B56" i="13"/>
  <c r="B55" i="13"/>
  <c r="B54" i="13"/>
  <c r="B53" i="13"/>
  <c r="B52" i="13"/>
  <c r="B51" i="13"/>
  <c r="B50" i="13"/>
  <c r="B49" i="13"/>
  <c r="B48" i="13"/>
  <c r="B47" i="13"/>
  <c r="B46" i="13"/>
  <c r="B45" i="13"/>
  <c r="B44" i="13"/>
  <c r="B43" i="13"/>
  <c r="B42" i="13"/>
  <c r="B41" i="13"/>
  <c r="B40" i="13"/>
  <c r="B39" i="13"/>
  <c r="B38" i="13"/>
  <c r="B37" i="13"/>
  <c r="B36" i="13"/>
  <c r="B35" i="13"/>
  <c r="B34" i="13"/>
  <c r="B33" i="13"/>
  <c r="B32" i="13"/>
  <c r="B31" i="13"/>
  <c r="B30" i="13"/>
  <c r="B29" i="13"/>
  <c r="B28" i="13"/>
  <c r="B27" i="13"/>
  <c r="B26" i="13"/>
  <c r="B25" i="13"/>
  <c r="B24" i="13"/>
  <c r="B23" i="13"/>
  <c r="B22" i="13"/>
  <c r="B21" i="13"/>
  <c r="B20" i="13"/>
  <c r="B19" i="13"/>
  <c r="B18" i="13"/>
  <c r="B17" i="13"/>
  <c r="B16" i="13"/>
  <c r="B15" i="13"/>
  <c r="B14" i="13"/>
  <c r="B13" i="13"/>
  <c r="B12" i="13"/>
  <c r="B11" i="13"/>
  <c r="B10" i="13"/>
  <c r="B9" i="13"/>
  <c r="B8" i="13"/>
  <c r="B7" i="13"/>
  <c r="B6" i="13"/>
  <c r="B5" i="13"/>
  <c r="B4" i="13"/>
  <c r="B3" i="13"/>
  <c r="B2" i="13"/>
  <c r="B141" i="17" l="1"/>
  <c r="B140" i="17"/>
  <c r="B139" i="17"/>
  <c r="B138" i="17"/>
  <c r="B137" i="17"/>
  <c r="B136" i="17"/>
  <c r="B135" i="17"/>
  <c r="B134" i="17"/>
  <c r="B133" i="17"/>
  <c r="B132" i="17"/>
  <c r="B131" i="17"/>
  <c r="B130" i="17"/>
  <c r="B129" i="17"/>
  <c r="B128" i="17"/>
  <c r="B127" i="17"/>
  <c r="B126" i="17"/>
  <c r="B125" i="17"/>
  <c r="B124" i="17"/>
  <c r="B123" i="17"/>
  <c r="B122" i="17"/>
  <c r="B121" i="17"/>
  <c r="B120" i="17"/>
  <c r="B119" i="17"/>
  <c r="B118" i="17"/>
  <c r="B117" i="17"/>
  <c r="B116" i="17"/>
  <c r="B115" i="17"/>
  <c r="B114" i="17"/>
  <c r="B113" i="17"/>
  <c r="B112" i="17"/>
  <c r="B111" i="17"/>
  <c r="B110" i="17"/>
  <c r="B109" i="17"/>
  <c r="B108" i="17"/>
  <c r="B107" i="17"/>
  <c r="B106" i="17"/>
  <c r="B105" i="17"/>
  <c r="B104" i="17"/>
  <c r="B103" i="17"/>
  <c r="B102" i="17"/>
  <c r="B101" i="17"/>
  <c r="B100" i="17"/>
  <c r="B99" i="17"/>
  <c r="B98" i="17"/>
  <c r="B97" i="17"/>
  <c r="B96" i="17"/>
  <c r="B95" i="17"/>
  <c r="B94" i="17"/>
  <c r="B93" i="17"/>
  <c r="B92" i="17"/>
  <c r="B91" i="17"/>
  <c r="B90" i="17"/>
  <c r="B89" i="17"/>
  <c r="B88" i="17"/>
  <c r="B87" i="17"/>
  <c r="B86" i="17"/>
  <c r="B85" i="17"/>
  <c r="B84" i="17"/>
  <c r="B83" i="17"/>
  <c r="B82" i="17"/>
  <c r="B81" i="17"/>
  <c r="B80" i="17"/>
  <c r="B79" i="17"/>
  <c r="B78" i="17"/>
  <c r="B77" i="17"/>
  <c r="B76" i="17"/>
  <c r="B75" i="17"/>
  <c r="B74" i="17"/>
  <c r="B73" i="17"/>
  <c r="B72" i="17"/>
  <c r="B71" i="17"/>
  <c r="B70" i="17"/>
  <c r="B69" i="17"/>
  <c r="B68" i="17"/>
  <c r="B67" i="17"/>
  <c r="B66" i="17"/>
  <c r="B65" i="17"/>
  <c r="B64" i="17"/>
  <c r="B63" i="17"/>
  <c r="B62" i="17"/>
  <c r="B61" i="17"/>
  <c r="B60" i="17"/>
  <c r="B59" i="17"/>
  <c r="B58" i="17"/>
  <c r="B57" i="17"/>
  <c r="B56" i="17"/>
  <c r="B55" i="17"/>
  <c r="B54" i="17"/>
  <c r="B53" i="17"/>
  <c r="B52" i="17"/>
  <c r="B51" i="17"/>
  <c r="B50" i="17"/>
  <c r="B49" i="17"/>
  <c r="B48" i="17"/>
  <c r="B47" i="17"/>
  <c r="B46" i="17"/>
  <c r="B45" i="17"/>
  <c r="B44" i="17"/>
  <c r="B43" i="17"/>
  <c r="B42" i="17"/>
  <c r="B41" i="17"/>
  <c r="B40" i="17"/>
  <c r="C137" i="18"/>
  <c r="C78" i="18"/>
  <c r="C77" i="18"/>
  <c r="C105" i="18"/>
  <c r="C103" i="18"/>
  <c r="C102" i="18"/>
  <c r="C76" i="18"/>
  <c r="C75" i="18"/>
  <c r="C90" i="18"/>
  <c r="C118" i="18"/>
  <c r="C117" i="18"/>
  <c r="C116" i="18"/>
  <c r="C115" i="18"/>
  <c r="C133" i="18"/>
  <c r="C88" i="18"/>
  <c r="C130" i="18"/>
  <c r="C129" i="18"/>
  <c r="C139" i="18"/>
  <c r="C83" i="18"/>
  <c r="C82" i="18"/>
  <c r="C136" i="18"/>
  <c r="C93" i="18"/>
  <c r="C72" i="18"/>
  <c r="C71" i="18"/>
  <c r="C70" i="18"/>
  <c r="C69" i="18"/>
  <c r="C68" i="18"/>
  <c r="C67" i="18"/>
  <c r="C114" i="18"/>
  <c r="C87" i="18"/>
  <c r="C92" i="18"/>
  <c r="C91" i="18"/>
  <c r="C99" i="18"/>
  <c r="C98" i="18"/>
  <c r="C96" i="18"/>
  <c r="C95" i="18"/>
  <c r="C134" i="18"/>
  <c r="C63" i="18"/>
  <c r="C62" i="18"/>
  <c r="C97" i="18"/>
  <c r="C65" i="18"/>
  <c r="C61" i="18"/>
  <c r="C59" i="18"/>
  <c r="C57" i="18"/>
  <c r="C56" i="18"/>
  <c r="C55" i="18"/>
  <c r="C54" i="18"/>
  <c r="C53" i="18"/>
  <c r="C52" i="18"/>
  <c r="C50" i="18"/>
  <c r="C49" i="18"/>
  <c r="C48" i="18"/>
  <c r="C113" i="18"/>
  <c r="C111" i="18"/>
  <c r="C42" i="18"/>
  <c r="C123" i="18"/>
  <c r="C140" i="18"/>
  <c r="C131" i="18"/>
  <c r="C64" i="18"/>
  <c r="C41" i="18"/>
  <c r="C44" i="18"/>
  <c r="C43" i="18"/>
  <c r="C126" i="18"/>
  <c r="C125" i="18"/>
  <c r="C124" i="18"/>
  <c r="C86" i="18"/>
  <c r="C110" i="18"/>
  <c r="C109" i="18"/>
  <c r="C121" i="18"/>
  <c r="C39" i="18"/>
  <c r="C80" i="18"/>
  <c r="C138" i="18"/>
  <c r="C108" i="18"/>
  <c r="C107" i="18"/>
  <c r="C106" i="18"/>
  <c r="C85" i="18"/>
  <c r="C84" i="18"/>
  <c r="C35" i="18"/>
  <c r="C15" i="18"/>
  <c r="C33" i="18"/>
  <c r="C25" i="18"/>
  <c r="C24" i="18"/>
  <c r="C5" i="18"/>
  <c r="C32" i="18"/>
  <c r="C31" i="18"/>
  <c r="C34" i="18"/>
  <c r="C29" i="18"/>
  <c r="C21" i="18"/>
  <c r="C30" i="18"/>
  <c r="C37" i="18"/>
  <c r="C17" i="18"/>
  <c r="C20" i="18"/>
  <c r="C13" i="18"/>
  <c r="C19" i="18"/>
  <c r="C12" i="18"/>
  <c r="C14" i="18"/>
  <c r="C22" i="18"/>
  <c r="C11" i="18"/>
  <c r="C9" i="18"/>
  <c r="C18" i="18"/>
  <c r="C27" i="18"/>
  <c r="C28" i="18"/>
  <c r="C26" i="18"/>
  <c r="C10" i="18"/>
  <c r="C8" i="18"/>
  <c r="C6" i="18"/>
  <c r="C7" i="18"/>
  <c r="C16" i="18"/>
  <c r="C23" i="18"/>
  <c r="C36" i="18"/>
  <c r="B39" i="17"/>
  <c r="B37" i="17"/>
  <c r="B36" i="17"/>
  <c r="B35" i="17"/>
  <c r="B34" i="17"/>
  <c r="B33" i="17"/>
  <c r="B32" i="17"/>
  <c r="B31" i="17"/>
  <c r="B30" i="17"/>
  <c r="B29" i="17"/>
  <c r="B28" i="17"/>
  <c r="B27" i="17"/>
  <c r="B26" i="17"/>
  <c r="B25" i="17"/>
  <c r="B24" i="17"/>
  <c r="B23" i="17"/>
  <c r="B22" i="17"/>
  <c r="B21" i="17"/>
  <c r="B20" i="17"/>
  <c r="B19" i="17"/>
  <c r="B18" i="17"/>
  <c r="B17" i="17"/>
  <c r="B16" i="17"/>
  <c r="B15" i="17"/>
  <c r="B14" i="17"/>
  <c r="B13" i="17"/>
  <c r="B12" i="17"/>
  <c r="B11" i="17"/>
  <c r="B10" i="17"/>
  <c r="B9" i="17"/>
  <c r="B8" i="17"/>
  <c r="B7" i="17"/>
  <c r="B6" i="17"/>
  <c r="B5" i="17"/>
  <c r="H141" i="17"/>
  <c r="C141" i="23" s="1"/>
  <c r="F141" i="17"/>
  <c r="H140" i="17"/>
  <c r="C140" i="23" s="1"/>
  <c r="F140" i="17"/>
  <c r="H139" i="17"/>
  <c r="C139" i="23" s="1"/>
  <c r="F139" i="17"/>
  <c r="H138" i="17"/>
  <c r="C138" i="23" s="1"/>
  <c r="F138" i="17"/>
  <c r="H137" i="17"/>
  <c r="C137" i="23" s="1"/>
  <c r="F137" i="17"/>
  <c r="H136" i="17"/>
  <c r="C136" i="23" s="1"/>
  <c r="F136" i="17"/>
  <c r="H135" i="17"/>
  <c r="C135" i="23" s="1"/>
  <c r="F135" i="17"/>
  <c r="H134" i="17"/>
  <c r="C134" i="23" s="1"/>
  <c r="F134" i="17"/>
  <c r="H133" i="17"/>
  <c r="C133" i="23" s="1"/>
  <c r="F133" i="17"/>
  <c r="H132" i="17"/>
  <c r="C132" i="23" s="1"/>
  <c r="F132" i="17"/>
  <c r="H131" i="17"/>
  <c r="C131" i="23" s="1"/>
  <c r="F131" i="17"/>
  <c r="H130" i="17"/>
  <c r="C130" i="23" s="1"/>
  <c r="F130" i="17"/>
  <c r="H129" i="17"/>
  <c r="C129" i="23" s="1"/>
  <c r="F129" i="17"/>
  <c r="H128" i="17"/>
  <c r="C128" i="23" s="1"/>
  <c r="F128" i="17"/>
  <c r="H127" i="17"/>
  <c r="C127" i="23" s="1"/>
  <c r="F127" i="17"/>
  <c r="H126" i="17"/>
  <c r="C126" i="23" s="1"/>
  <c r="F126" i="17"/>
  <c r="H125" i="17"/>
  <c r="C125" i="23" s="1"/>
  <c r="F125" i="17"/>
  <c r="B61" i="15"/>
  <c r="F39" i="17" l="1"/>
  <c r="H39" i="17"/>
  <c r="C39" i="23" s="1"/>
  <c r="B125" i="12"/>
  <c r="B124" i="12"/>
  <c r="B123" i="12"/>
  <c r="B122" i="12"/>
  <c r="B121" i="12"/>
  <c r="B120" i="12"/>
  <c r="B119" i="12"/>
  <c r="B118" i="12"/>
  <c r="B117" i="12"/>
  <c r="B116" i="12"/>
  <c r="B115" i="12"/>
  <c r="B114" i="12"/>
  <c r="B113" i="12"/>
  <c r="B112" i="12"/>
  <c r="B111" i="12"/>
  <c r="B110" i="12"/>
  <c r="B109" i="12"/>
  <c r="B108" i="12"/>
  <c r="B107" i="12"/>
  <c r="B106" i="12"/>
  <c r="B105" i="12"/>
  <c r="B104" i="12"/>
  <c r="B103" i="12"/>
  <c r="B102" i="12"/>
  <c r="B101" i="12"/>
  <c r="B100" i="12"/>
  <c r="B99" i="12"/>
  <c r="B98" i="12"/>
  <c r="B97" i="12"/>
  <c r="B96" i="12"/>
  <c r="B95" i="12"/>
  <c r="B94" i="12"/>
  <c r="B93" i="12"/>
  <c r="B92" i="12"/>
  <c r="B91" i="12"/>
  <c r="B90" i="12"/>
  <c r="B89" i="12"/>
  <c r="B88" i="12"/>
  <c r="B87" i="12"/>
  <c r="B86" i="12"/>
  <c r="B85" i="12"/>
  <c r="B84" i="12"/>
  <c r="B83" i="12"/>
  <c r="B82" i="12"/>
  <c r="B81" i="12"/>
  <c r="B80" i="12"/>
  <c r="B79" i="12"/>
  <c r="B78" i="12"/>
  <c r="B77" i="12"/>
  <c r="B76" i="12"/>
  <c r="B75" i="12"/>
  <c r="B74" i="12"/>
  <c r="B73" i="12"/>
  <c r="B72" i="12"/>
  <c r="B71" i="12"/>
  <c r="B70" i="12"/>
  <c r="B69" i="12"/>
  <c r="B68" i="12"/>
  <c r="B67"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B17" i="12"/>
  <c r="B16" i="12"/>
  <c r="B15" i="12"/>
  <c r="B14" i="12"/>
  <c r="B13" i="12"/>
  <c r="B12" i="12"/>
  <c r="B11" i="12"/>
  <c r="B10" i="12"/>
  <c r="B9" i="12"/>
  <c r="B8" i="12"/>
  <c r="B7" i="12"/>
  <c r="B6" i="12"/>
  <c r="B5" i="12"/>
  <c r="B4" i="12"/>
  <c r="B3" i="12"/>
  <c r="B2" i="12"/>
  <c r="B129" i="15"/>
  <c r="B125" i="15"/>
  <c r="B118" i="15"/>
  <c r="B115" i="15"/>
  <c r="B112" i="15"/>
  <c r="B111" i="15"/>
  <c r="B110" i="15"/>
  <c r="B108" i="15"/>
  <c r="B102" i="15"/>
  <c r="B99" i="15"/>
  <c r="B94" i="15"/>
  <c r="B80" i="15"/>
  <c r="B77" i="15"/>
  <c r="B75" i="15"/>
  <c r="B74" i="15"/>
  <c r="B68" i="15"/>
  <c r="B66" i="15"/>
  <c r="B65" i="15"/>
  <c r="B64" i="15"/>
  <c r="B63" i="15"/>
  <c r="B62" i="15"/>
  <c r="B60" i="15"/>
  <c r="B59" i="15"/>
  <c r="B57" i="15"/>
  <c r="B56" i="15"/>
  <c r="B55" i="15"/>
  <c r="B51" i="15"/>
  <c r="B49" i="15"/>
  <c r="B48" i="15"/>
  <c r="B47" i="15"/>
  <c r="B46" i="15"/>
  <c r="B43" i="15"/>
  <c r="B42" i="15"/>
  <c r="B41" i="15"/>
  <c r="B40" i="15"/>
  <c r="B37" i="15"/>
  <c r="B35" i="15"/>
  <c r="B34" i="15"/>
  <c r="B33" i="15"/>
  <c r="B32" i="15"/>
  <c r="B31" i="15"/>
  <c r="B30" i="15"/>
  <c r="B29" i="15"/>
  <c r="B28" i="15"/>
  <c r="B27" i="15"/>
  <c r="B26" i="15"/>
  <c r="B25" i="15"/>
  <c r="B24" i="15"/>
  <c r="B23" i="15"/>
  <c r="B22" i="15"/>
  <c r="B21" i="15"/>
  <c r="B20" i="15"/>
  <c r="B19" i="15"/>
  <c r="B18" i="15"/>
  <c r="B17" i="15"/>
  <c r="B16" i="15"/>
  <c r="B15" i="15"/>
  <c r="B14" i="15"/>
  <c r="B13" i="15"/>
  <c r="B12" i="15"/>
  <c r="B11" i="15"/>
  <c r="B10" i="15"/>
  <c r="B9" i="15"/>
  <c r="B8" i="15"/>
  <c r="B7" i="15"/>
  <c r="B6" i="15"/>
  <c r="B5" i="15"/>
  <c r="B4" i="15"/>
  <c r="B3" i="15"/>
  <c r="B2" i="15"/>
  <c r="G130" i="15"/>
  <c r="B130" i="15" s="1"/>
  <c r="G126" i="15"/>
  <c r="G127" i="15" s="1"/>
  <c r="G119" i="15"/>
  <c r="G120" i="15" s="1"/>
  <c r="G121" i="15" s="1"/>
  <c r="G122" i="15" s="1"/>
  <c r="G123" i="15" s="1"/>
  <c r="G124" i="15" s="1"/>
  <c r="B124" i="15" s="1"/>
  <c r="G116" i="15"/>
  <c r="G117" i="15" s="1"/>
  <c r="B117" i="15" s="1"/>
  <c r="G113" i="15"/>
  <c r="B113" i="15" s="1"/>
  <c r="G109" i="15"/>
  <c r="B109" i="15" s="1"/>
  <c r="G103" i="15"/>
  <c r="G104" i="15" s="1"/>
  <c r="G105" i="15" s="1"/>
  <c r="G106" i="15" s="1"/>
  <c r="G107" i="15" s="1"/>
  <c r="B107" i="15" s="1"/>
  <c r="G100" i="15"/>
  <c r="G101" i="15" s="1"/>
  <c r="B101" i="15" s="1"/>
  <c r="G95" i="15"/>
  <c r="G96" i="15" s="1"/>
  <c r="G97" i="15" s="1"/>
  <c r="G98" i="15" s="1"/>
  <c r="B98" i="15" s="1"/>
  <c r="G81" i="15"/>
  <c r="B81" i="15" s="1"/>
  <c r="G78" i="15"/>
  <c r="B78" i="15" s="1"/>
  <c r="G76" i="15"/>
  <c r="B76" i="15" s="1"/>
  <c r="G69" i="15"/>
  <c r="G70" i="15" s="1"/>
  <c r="G71" i="15" s="1"/>
  <c r="G72" i="15" s="1"/>
  <c r="G73" i="15" s="1"/>
  <c r="B73" i="15" s="1"/>
  <c r="G67" i="15"/>
  <c r="B67" i="15" s="1"/>
  <c r="G58" i="15"/>
  <c r="B58" i="15" s="1"/>
  <c r="G52" i="15"/>
  <c r="G53" i="15" s="1"/>
  <c r="B53" i="15" s="1"/>
  <c r="G50" i="15"/>
  <c r="B50" i="15" s="1"/>
  <c r="G44" i="15"/>
  <c r="B44" i="15" s="1"/>
  <c r="G38" i="15"/>
  <c r="B38" i="15" s="1"/>
  <c r="G36" i="15"/>
  <c r="B36" i="15" s="1"/>
  <c r="G128" i="15" l="1"/>
  <c r="B128" i="15" s="1"/>
  <c r="B127" i="15"/>
  <c r="E103" i="17"/>
  <c r="D103" i="17"/>
  <c r="E96" i="17"/>
  <c r="D96" i="17"/>
  <c r="E68" i="17"/>
  <c r="D68" i="17"/>
  <c r="E66" i="17"/>
  <c r="D66" i="17"/>
  <c r="E65" i="17"/>
  <c r="D65" i="17"/>
  <c r="E51" i="17"/>
  <c r="D51" i="17"/>
  <c r="E50" i="17"/>
  <c r="D50" i="17"/>
  <c r="E49" i="17"/>
  <c r="D49" i="17"/>
  <c r="E44" i="17"/>
  <c r="D44" i="17"/>
  <c r="E43" i="17"/>
  <c r="D43" i="17"/>
  <c r="F106" i="18"/>
  <c r="E106" i="18"/>
  <c r="F85" i="18"/>
  <c r="E85" i="18"/>
  <c r="F84" i="18"/>
  <c r="E84" i="18"/>
  <c r="F35" i="18"/>
  <c r="E35" i="18"/>
  <c r="F15" i="18"/>
  <c r="E15" i="18"/>
  <c r="F33" i="18"/>
  <c r="E33" i="18"/>
  <c r="F25" i="18"/>
  <c r="E25" i="18"/>
  <c r="F24" i="18"/>
  <c r="E24" i="18"/>
  <c r="F5" i="18"/>
  <c r="E5" i="18"/>
  <c r="F32" i="18"/>
  <c r="E32" i="18"/>
  <c r="F31" i="18"/>
  <c r="E31" i="18"/>
  <c r="F34" i="18"/>
  <c r="E34" i="18"/>
  <c r="F29" i="18"/>
  <c r="E29" i="18"/>
  <c r="F21" i="18"/>
  <c r="E21" i="18"/>
  <c r="F30" i="18"/>
  <c r="E30" i="18"/>
  <c r="F37" i="18"/>
  <c r="E37" i="18"/>
  <c r="F17" i="18"/>
  <c r="E17" i="18"/>
  <c r="F20" i="18"/>
  <c r="E20" i="18"/>
  <c r="F13" i="18"/>
  <c r="E13" i="18"/>
  <c r="F19" i="18"/>
  <c r="E19" i="18"/>
  <c r="F12" i="18"/>
  <c r="E12" i="18"/>
  <c r="F14" i="18"/>
  <c r="E14" i="18"/>
  <c r="F22" i="18"/>
  <c r="E22" i="18"/>
  <c r="F11" i="18"/>
  <c r="E11" i="18"/>
  <c r="F9" i="18"/>
  <c r="E9" i="18"/>
  <c r="F18" i="18"/>
  <c r="E18" i="18"/>
  <c r="F27" i="18"/>
  <c r="E27" i="18"/>
  <c r="F28" i="18"/>
  <c r="E28" i="18"/>
  <c r="F26" i="18"/>
  <c r="E26" i="18"/>
  <c r="F10" i="18"/>
  <c r="E10" i="18"/>
  <c r="F8" i="18"/>
  <c r="E8" i="18"/>
  <c r="F6" i="18"/>
  <c r="E6" i="18"/>
  <c r="F7" i="18"/>
  <c r="E7" i="18"/>
  <c r="F16" i="18"/>
  <c r="E16" i="18"/>
  <c r="F23" i="18"/>
  <c r="E23" i="18"/>
  <c r="F36" i="18"/>
  <c r="E36" i="18"/>
  <c r="E39" i="17"/>
  <c r="D39" i="17"/>
  <c r="E37" i="17"/>
  <c r="D37" i="17"/>
  <c r="E36" i="17"/>
  <c r="D36" i="17"/>
  <c r="E35" i="17"/>
  <c r="D35" i="17"/>
  <c r="E34" i="17"/>
  <c r="D34" i="17"/>
  <c r="E33" i="17"/>
  <c r="D33" i="17"/>
  <c r="E32" i="17"/>
  <c r="D32" i="17"/>
  <c r="E31" i="17"/>
  <c r="D31" i="17"/>
  <c r="E30" i="17"/>
  <c r="D30" i="17"/>
  <c r="E29" i="17"/>
  <c r="D29" i="17"/>
  <c r="E28" i="17"/>
  <c r="D28" i="17"/>
  <c r="E27" i="17"/>
  <c r="D27" i="17"/>
  <c r="E26" i="17"/>
  <c r="D26" i="17"/>
  <c r="E25" i="17"/>
  <c r="D25" i="17"/>
  <c r="E24" i="17"/>
  <c r="D24" i="17"/>
  <c r="E23" i="17"/>
  <c r="D23" i="17"/>
  <c r="E22" i="17"/>
  <c r="D22" i="17"/>
  <c r="E21" i="17"/>
  <c r="D21" i="17"/>
  <c r="E20" i="17"/>
  <c r="D20" i="17"/>
  <c r="E19" i="17"/>
  <c r="D19" i="17"/>
  <c r="E18" i="17"/>
  <c r="D18" i="17"/>
  <c r="E17" i="17"/>
  <c r="D17" i="17"/>
  <c r="E16" i="17"/>
  <c r="D16" i="17"/>
  <c r="E15" i="17"/>
  <c r="D15" i="17"/>
  <c r="E14" i="17"/>
  <c r="D14" i="17"/>
  <c r="E13" i="17"/>
  <c r="D13" i="17"/>
  <c r="E12" i="17"/>
  <c r="D12" i="17"/>
  <c r="E11" i="17"/>
  <c r="D11" i="17"/>
  <c r="E10" i="17"/>
  <c r="D10" i="17"/>
  <c r="E9" i="17"/>
  <c r="D9" i="17"/>
  <c r="E8" i="17"/>
  <c r="D8" i="17"/>
  <c r="E7" i="17"/>
  <c r="D7" i="17"/>
  <c r="E6" i="17"/>
  <c r="D6" i="17"/>
  <c r="D5" i="17"/>
  <c r="E5" i="17"/>
  <c r="C141" i="17"/>
  <c r="C140" i="17"/>
  <c r="C139" i="17"/>
  <c r="C138" i="17"/>
  <c r="C137" i="17"/>
  <c r="C136" i="17"/>
  <c r="C135" i="17"/>
  <c r="C134" i="17"/>
  <c r="C133" i="17"/>
  <c r="C132" i="17"/>
  <c r="C131" i="17"/>
  <c r="C130" i="17"/>
  <c r="C129" i="17"/>
  <c r="C128" i="17"/>
  <c r="C127" i="17"/>
  <c r="C126" i="17"/>
  <c r="C125" i="17"/>
  <c r="C124" i="17"/>
  <c r="C123" i="17"/>
  <c r="C122" i="17"/>
  <c r="C121" i="17"/>
  <c r="C120" i="17"/>
  <c r="C119" i="17"/>
  <c r="C118" i="17"/>
  <c r="C117" i="17"/>
  <c r="C116" i="17"/>
  <c r="C115" i="17"/>
  <c r="C114" i="17"/>
  <c r="C113" i="17"/>
  <c r="C112" i="17"/>
  <c r="C111" i="17"/>
  <c r="C110" i="17"/>
  <c r="C109" i="17"/>
  <c r="C108" i="17"/>
  <c r="C107" i="17"/>
  <c r="C106" i="17"/>
  <c r="C105" i="17"/>
  <c r="C104" i="17"/>
  <c r="C103" i="17"/>
  <c r="C102" i="17"/>
  <c r="C101" i="17"/>
  <c r="C100" i="17"/>
  <c r="C99" i="17"/>
  <c r="C98" i="17"/>
  <c r="C97" i="17"/>
  <c r="C96" i="17"/>
  <c r="C95" i="17"/>
  <c r="C94" i="17"/>
  <c r="C93" i="17"/>
  <c r="C92" i="17"/>
  <c r="C91" i="17"/>
  <c r="C90" i="17"/>
  <c r="C89" i="17"/>
  <c r="C88" i="17"/>
  <c r="C87" i="17"/>
  <c r="C86" i="17"/>
  <c r="C85" i="17"/>
  <c r="C84" i="17"/>
  <c r="C83" i="17"/>
  <c r="C82" i="17"/>
  <c r="C81" i="17"/>
  <c r="C80" i="17"/>
  <c r="C79" i="17"/>
  <c r="C78" i="17"/>
  <c r="C77" i="17"/>
  <c r="C76" i="17"/>
  <c r="C75" i="17"/>
  <c r="C74" i="17"/>
  <c r="C73" i="17"/>
  <c r="C72" i="17"/>
  <c r="C71" i="17"/>
  <c r="C70" i="17"/>
  <c r="C69" i="17"/>
  <c r="C68" i="17"/>
  <c r="C67" i="17"/>
  <c r="C66" i="17"/>
  <c r="C65" i="17"/>
  <c r="C64" i="17"/>
  <c r="C63" i="17"/>
  <c r="C62" i="17"/>
  <c r="C61" i="17"/>
  <c r="C60" i="17"/>
  <c r="C59" i="17"/>
  <c r="C58" i="17"/>
  <c r="C57" i="17"/>
  <c r="C56" i="17"/>
  <c r="C55" i="17"/>
  <c r="C54" i="17"/>
  <c r="C53" i="17"/>
  <c r="C52" i="17"/>
  <c r="C51" i="17"/>
  <c r="C50" i="17"/>
  <c r="C49" i="17"/>
  <c r="C48" i="17"/>
  <c r="C47" i="17"/>
  <c r="C46" i="17"/>
  <c r="C45" i="17"/>
  <c r="C44" i="17"/>
  <c r="C43" i="17"/>
  <c r="C42" i="17"/>
  <c r="C41" i="17"/>
  <c r="C40" i="17"/>
  <c r="D137" i="18"/>
  <c r="D78" i="18"/>
  <c r="D77" i="18"/>
  <c r="D105" i="18"/>
  <c r="D103" i="18"/>
  <c r="D102" i="18"/>
  <c r="D76" i="18"/>
  <c r="D75" i="18"/>
  <c r="D90" i="18"/>
  <c r="D118" i="18"/>
  <c r="D117" i="18"/>
  <c r="D116" i="18"/>
  <c r="D115" i="18"/>
  <c r="D133" i="18"/>
  <c r="D88" i="18"/>
  <c r="D130" i="18"/>
  <c r="D129" i="18"/>
  <c r="D139" i="18"/>
  <c r="D83" i="18"/>
  <c r="D82" i="18"/>
  <c r="D136" i="18"/>
  <c r="D93" i="18"/>
  <c r="D72" i="18"/>
  <c r="D71" i="18"/>
  <c r="D70" i="18"/>
  <c r="D69" i="18"/>
  <c r="D68" i="18"/>
  <c r="D67" i="18"/>
  <c r="D114" i="18"/>
  <c r="D87" i="18"/>
  <c r="D92" i="18"/>
  <c r="D91" i="18"/>
  <c r="D99" i="18"/>
  <c r="D98" i="18"/>
  <c r="D96" i="18"/>
  <c r="D95" i="18"/>
  <c r="D134" i="18"/>
  <c r="D63" i="18"/>
  <c r="D62" i="18"/>
  <c r="D97" i="18"/>
  <c r="D65" i="18"/>
  <c r="D61" i="18"/>
  <c r="D59" i="18"/>
  <c r="D57" i="18"/>
  <c r="D56" i="18"/>
  <c r="D55" i="18"/>
  <c r="D54" i="18"/>
  <c r="D53" i="18"/>
  <c r="D52" i="18"/>
  <c r="D50" i="18"/>
  <c r="D49" i="18"/>
  <c r="D48" i="18"/>
  <c r="D113" i="18"/>
  <c r="D111" i="18"/>
  <c r="D42" i="18"/>
  <c r="D123" i="18"/>
  <c r="D140" i="18"/>
  <c r="D131" i="18"/>
  <c r="D64" i="18"/>
  <c r="D41" i="18"/>
  <c r="D44" i="18"/>
  <c r="D43" i="18"/>
  <c r="D126" i="18"/>
  <c r="D125" i="18"/>
  <c r="D124" i="18"/>
  <c r="D86" i="18"/>
  <c r="D110" i="18"/>
  <c r="D109" i="18"/>
  <c r="D121" i="18"/>
  <c r="D39" i="18"/>
  <c r="D80" i="18"/>
  <c r="D138" i="18"/>
  <c r="D108" i="18"/>
  <c r="D107" i="18"/>
  <c r="D106" i="18"/>
  <c r="D85" i="18"/>
  <c r="D84" i="18"/>
  <c r="D35" i="18"/>
  <c r="D15" i="18"/>
  <c r="D33" i="18"/>
  <c r="D25" i="18"/>
  <c r="D24" i="18"/>
  <c r="D5" i="18"/>
  <c r="D32" i="18"/>
  <c r="D31" i="18"/>
  <c r="D34" i="18"/>
  <c r="D29" i="18"/>
  <c r="D21" i="18"/>
  <c r="D30" i="18"/>
  <c r="D37" i="18"/>
  <c r="D17" i="18"/>
  <c r="D20" i="18"/>
  <c r="D13" i="18"/>
  <c r="D19" i="18"/>
  <c r="D12" i="18"/>
  <c r="D14" i="18"/>
  <c r="D22" i="18"/>
  <c r="D11" i="18"/>
  <c r="D9" i="18"/>
  <c r="D18" i="18"/>
  <c r="D27" i="18"/>
  <c r="D28" i="18"/>
  <c r="D26" i="18"/>
  <c r="D10" i="18"/>
  <c r="D8" i="18"/>
  <c r="D6" i="18"/>
  <c r="D7" i="18"/>
  <c r="D16" i="18"/>
  <c r="D23" i="18"/>
  <c r="D36" i="18"/>
  <c r="C5" i="17"/>
  <c r="C39" i="17"/>
  <c r="C36" i="17"/>
  <c r="C32" i="17"/>
  <c r="C28" i="17"/>
  <c r="C24" i="17"/>
  <c r="C20" i="17"/>
  <c r="C16" i="17"/>
  <c r="C12" i="17"/>
  <c r="C8" i="17"/>
  <c r="C37" i="17"/>
  <c r="C33" i="17"/>
  <c r="C29" i="17"/>
  <c r="C25" i="17"/>
  <c r="C21" i="17"/>
  <c r="C17" i="17"/>
  <c r="C13" i="17"/>
  <c r="C9" i="17"/>
  <c r="C34" i="17"/>
  <c r="C30" i="17"/>
  <c r="C26" i="17"/>
  <c r="C22" i="17"/>
  <c r="C18" i="17"/>
  <c r="C14" i="17"/>
  <c r="C10" i="17"/>
  <c r="C6" i="17"/>
  <c r="C35" i="17"/>
  <c r="C31" i="17"/>
  <c r="C27" i="17"/>
  <c r="C23" i="17"/>
  <c r="C19" i="17"/>
  <c r="C15" i="17"/>
  <c r="C11" i="17"/>
  <c r="C7" i="17"/>
  <c r="B100" i="15"/>
  <c r="B72" i="15"/>
  <c r="B96" i="15"/>
  <c r="B104" i="15"/>
  <c r="B119" i="15"/>
  <c r="B123" i="15"/>
  <c r="G45" i="15"/>
  <c r="B45" i="15" s="1"/>
  <c r="B52" i="15"/>
  <c r="B69" i="15"/>
  <c r="B97" i="15"/>
  <c r="B105" i="15"/>
  <c r="B116" i="15"/>
  <c r="B120" i="15"/>
  <c r="B70" i="15"/>
  <c r="B106" i="15"/>
  <c r="B121" i="15"/>
  <c r="B71" i="15"/>
  <c r="B95" i="15"/>
  <c r="B103" i="15"/>
  <c r="B122" i="15"/>
  <c r="B126" i="15"/>
  <c r="G82" i="15"/>
  <c r="G54" i="15"/>
  <c r="B54" i="15" s="1"/>
  <c r="G39" i="15"/>
  <c r="B39" i="15" s="1"/>
  <c r="G79" i="15"/>
  <c r="B79" i="15" s="1"/>
  <c r="G114" i="15"/>
  <c r="B114" i="15" s="1"/>
  <c r="E131" i="17" l="1"/>
  <c r="D131" i="17"/>
  <c r="E110" i="17"/>
  <c r="D110" i="17"/>
  <c r="E109" i="17"/>
  <c r="D109" i="17"/>
  <c r="E108" i="17"/>
  <c r="D108" i="17"/>
  <c r="E107" i="17"/>
  <c r="D107" i="17"/>
  <c r="E106" i="17"/>
  <c r="D106" i="17"/>
  <c r="E105" i="17"/>
  <c r="D105" i="17"/>
  <c r="E104" i="17"/>
  <c r="D104" i="17"/>
  <c r="E102" i="17"/>
  <c r="D102" i="17"/>
  <c r="E101" i="17"/>
  <c r="D101" i="17"/>
  <c r="E100" i="17"/>
  <c r="D100" i="17"/>
  <c r="E99" i="17"/>
  <c r="D99" i="17"/>
  <c r="E97" i="17"/>
  <c r="D97" i="17"/>
  <c r="E94" i="17"/>
  <c r="D94" i="17"/>
  <c r="E93" i="17"/>
  <c r="D93" i="17"/>
  <c r="E90" i="17"/>
  <c r="D90" i="17"/>
  <c r="E89" i="17"/>
  <c r="D89" i="17"/>
  <c r="E88" i="17"/>
  <c r="D88" i="17"/>
  <c r="E86" i="17"/>
  <c r="D86" i="17"/>
  <c r="E85" i="17"/>
  <c r="D85" i="17"/>
  <c r="E84" i="17"/>
  <c r="D84" i="17"/>
  <c r="E83" i="17"/>
  <c r="D83" i="17"/>
  <c r="E81" i="17"/>
  <c r="D81" i="17"/>
  <c r="E80" i="17"/>
  <c r="D80" i="17"/>
  <c r="E77" i="17"/>
  <c r="D77" i="17"/>
  <c r="E76" i="17"/>
  <c r="D76" i="17"/>
  <c r="E75" i="17"/>
  <c r="D75" i="17"/>
  <c r="E73" i="17"/>
  <c r="D73" i="17"/>
  <c r="E72" i="17"/>
  <c r="D72" i="17"/>
  <c r="E71" i="17"/>
  <c r="D71" i="17"/>
  <c r="E70" i="17"/>
  <c r="D70" i="17"/>
  <c r="E69" i="17"/>
  <c r="D69" i="17"/>
  <c r="E67" i="17"/>
  <c r="D67" i="17"/>
  <c r="E63" i="17"/>
  <c r="D63" i="17"/>
  <c r="E62" i="17"/>
  <c r="D62" i="17"/>
  <c r="E60" i="17"/>
  <c r="D60" i="17"/>
  <c r="E59" i="17"/>
  <c r="D59" i="17"/>
  <c r="E58" i="17"/>
  <c r="D58" i="17"/>
  <c r="E57" i="17"/>
  <c r="D57" i="17"/>
  <c r="E56" i="17"/>
  <c r="D56" i="17"/>
  <c r="E55" i="17"/>
  <c r="D55" i="17"/>
  <c r="E54" i="17"/>
  <c r="D54" i="17"/>
  <c r="E53" i="17"/>
  <c r="D53" i="17"/>
  <c r="E52" i="17"/>
  <c r="D52" i="17"/>
  <c r="E45" i="17"/>
  <c r="D45" i="17"/>
  <c r="E42" i="17"/>
  <c r="D42" i="17"/>
  <c r="E41" i="17"/>
  <c r="D41" i="17"/>
  <c r="E40" i="17"/>
  <c r="D40" i="17"/>
  <c r="F137" i="18"/>
  <c r="E137" i="18"/>
  <c r="F76" i="18"/>
  <c r="E76" i="18"/>
  <c r="F75" i="18"/>
  <c r="E75" i="18"/>
  <c r="F90" i="18"/>
  <c r="E90" i="18"/>
  <c r="F88" i="18"/>
  <c r="E88" i="18"/>
  <c r="F83" i="18"/>
  <c r="E83" i="18"/>
  <c r="F82" i="18"/>
  <c r="E82" i="18"/>
  <c r="F114" i="18"/>
  <c r="E114" i="18"/>
  <c r="F87" i="18"/>
  <c r="E87" i="18"/>
  <c r="F92" i="18"/>
  <c r="E92" i="18"/>
  <c r="F91" i="18"/>
  <c r="E91" i="18"/>
  <c r="F99" i="18"/>
  <c r="E99" i="18"/>
  <c r="F98" i="18"/>
  <c r="E98" i="18"/>
  <c r="F63" i="18"/>
  <c r="E63" i="18"/>
  <c r="F62" i="18"/>
  <c r="E62" i="18"/>
  <c r="F49" i="18"/>
  <c r="E49" i="18"/>
  <c r="F48" i="18"/>
  <c r="E48" i="18"/>
  <c r="F113" i="18"/>
  <c r="E113" i="18"/>
  <c r="F111" i="18"/>
  <c r="E111" i="18"/>
  <c r="F42" i="18"/>
  <c r="E42" i="18"/>
  <c r="F123" i="18"/>
  <c r="E123" i="18"/>
  <c r="F140" i="18"/>
  <c r="E140" i="18"/>
  <c r="F131" i="18"/>
  <c r="E131" i="18"/>
  <c r="F64" i="18"/>
  <c r="E64" i="18"/>
  <c r="F41" i="18"/>
  <c r="E41" i="18"/>
  <c r="F44" i="18"/>
  <c r="E44" i="18"/>
  <c r="F43" i="18"/>
  <c r="E43" i="18"/>
  <c r="F126" i="18"/>
  <c r="E126" i="18"/>
  <c r="F125" i="18"/>
  <c r="E125" i="18"/>
  <c r="F124" i="18"/>
  <c r="E124" i="18"/>
  <c r="F86" i="18"/>
  <c r="E86" i="18"/>
  <c r="F110" i="18"/>
  <c r="E110" i="18"/>
  <c r="F121" i="18"/>
  <c r="E121" i="18"/>
  <c r="F39" i="18"/>
  <c r="E39" i="18"/>
  <c r="F80" i="18"/>
  <c r="E80" i="18"/>
  <c r="F138" i="18"/>
  <c r="E138" i="18"/>
  <c r="F108" i="18"/>
  <c r="E108" i="18"/>
  <c r="F107" i="18"/>
  <c r="E107" i="18"/>
  <c r="G83" i="15"/>
  <c r="B83" i="15" s="1"/>
  <c r="B82" i="15"/>
  <c r="G84" i="15"/>
  <c r="B84" i="15" s="1"/>
  <c r="E111" i="17" l="1"/>
  <c r="D111" i="17"/>
  <c r="E87" i="17"/>
  <c r="D87" i="17"/>
  <c r="E78" i="17"/>
  <c r="D78" i="17"/>
  <c r="F134" i="18"/>
  <c r="E134" i="18"/>
  <c r="F52" i="18"/>
  <c r="E52" i="18"/>
  <c r="F50" i="18"/>
  <c r="E50" i="18"/>
  <c r="G85" i="15"/>
  <c r="B85" i="15" s="1"/>
  <c r="E112" i="17" l="1"/>
  <c r="D112" i="17"/>
  <c r="E98" i="17"/>
  <c r="D98" i="17"/>
  <c r="F53" i="18"/>
  <c r="E53" i="18"/>
  <c r="G86" i="15"/>
  <c r="B86" i="15" s="1"/>
  <c r="E113" i="17" l="1"/>
  <c r="D113" i="17"/>
  <c r="F54" i="18"/>
  <c r="E54" i="18"/>
  <c r="G87" i="15"/>
  <c r="B87" i="15" s="1"/>
  <c r="E114" i="17" l="1"/>
  <c r="D114" i="17"/>
  <c r="F55" i="18"/>
  <c r="E55" i="18"/>
  <c r="G88" i="15"/>
  <c r="B88" i="15" s="1"/>
  <c r="E115" i="17" l="1"/>
  <c r="D115" i="17"/>
  <c r="F56" i="18"/>
  <c r="E56" i="18"/>
  <c r="G89" i="15"/>
  <c r="B89" i="15" s="1"/>
  <c r="E116" i="17" l="1"/>
  <c r="D116" i="17"/>
  <c r="F57" i="18"/>
  <c r="E57" i="18"/>
  <c r="G90" i="15"/>
  <c r="B90" i="15" s="1"/>
  <c r="E92" i="17" l="1"/>
  <c r="D92" i="17"/>
  <c r="G91" i="15"/>
  <c r="B91" i="15" s="1"/>
  <c r="E117" i="17" l="1"/>
  <c r="D117" i="17"/>
  <c r="F59" i="18"/>
  <c r="E59" i="18"/>
  <c r="G92" i="15"/>
  <c r="B92" i="15" s="1"/>
  <c r="G93" i="15" l="1"/>
  <c r="B93" i="15" s="1"/>
  <c r="E141" i="17" l="1"/>
  <c r="D141" i="17"/>
  <c r="E140" i="17"/>
  <c r="D140" i="17"/>
  <c r="E139" i="17"/>
  <c r="D139" i="17"/>
  <c r="E138" i="17"/>
  <c r="D138" i="17"/>
  <c r="E137" i="17"/>
  <c r="D137" i="17"/>
  <c r="E136" i="17"/>
  <c r="D136" i="17"/>
  <c r="E135" i="17"/>
  <c r="D135" i="17"/>
  <c r="E134" i="17"/>
  <c r="D134" i="17"/>
  <c r="E133" i="17"/>
  <c r="D133" i="17"/>
  <c r="E132" i="17"/>
  <c r="D132" i="17"/>
  <c r="E130" i="17"/>
  <c r="D130" i="17"/>
  <c r="E129" i="17"/>
  <c r="D129" i="17"/>
  <c r="E128" i="17"/>
  <c r="D128" i="17"/>
  <c r="E127" i="17"/>
  <c r="D127" i="17"/>
  <c r="E126" i="17"/>
  <c r="D126" i="17"/>
  <c r="E125" i="17"/>
  <c r="D125" i="17"/>
  <c r="E124" i="17"/>
  <c r="D124" i="17"/>
  <c r="E123" i="17"/>
  <c r="D123" i="17"/>
  <c r="E122" i="17"/>
  <c r="D122" i="17"/>
  <c r="E121" i="17"/>
  <c r="D121" i="17"/>
  <c r="E120" i="17"/>
  <c r="D120" i="17"/>
  <c r="E119" i="17"/>
  <c r="D119" i="17"/>
  <c r="E118" i="17"/>
  <c r="D118" i="17"/>
  <c r="E95" i="17"/>
  <c r="D95" i="17"/>
  <c r="E91" i="17"/>
  <c r="D91" i="17"/>
  <c r="E82" i="17"/>
  <c r="D82" i="17"/>
  <c r="E79" i="17"/>
  <c r="D79" i="17"/>
  <c r="E74" i="17"/>
  <c r="D74" i="17"/>
  <c r="E64" i="17"/>
  <c r="D64" i="17"/>
  <c r="E61" i="17"/>
  <c r="D61" i="17"/>
  <c r="E48" i="17"/>
  <c r="D48" i="17"/>
  <c r="E47" i="17"/>
  <c r="D47" i="17"/>
  <c r="E46" i="17"/>
  <c r="D46" i="17"/>
  <c r="F78" i="18"/>
  <c r="E78" i="18"/>
  <c r="F77" i="18"/>
  <c r="E77" i="18"/>
  <c r="F105" i="18"/>
  <c r="E105" i="18"/>
  <c r="F103" i="18"/>
  <c r="E103" i="18"/>
  <c r="F102" i="18"/>
  <c r="E102" i="18"/>
  <c r="F118" i="18"/>
  <c r="E118" i="18"/>
  <c r="F117" i="18"/>
  <c r="E117" i="18"/>
  <c r="F116" i="18"/>
  <c r="E116" i="18"/>
  <c r="F115" i="18"/>
  <c r="E115" i="18"/>
  <c r="F133" i="18"/>
  <c r="E133" i="18"/>
  <c r="F130" i="18"/>
  <c r="E130" i="18"/>
  <c r="F129" i="18"/>
  <c r="E129" i="18"/>
  <c r="F139" i="18"/>
  <c r="E139" i="18"/>
  <c r="F136" i="18"/>
  <c r="E136" i="18"/>
  <c r="F93" i="18"/>
  <c r="E93" i="18"/>
  <c r="F72" i="18"/>
  <c r="E72" i="18"/>
  <c r="F71" i="18"/>
  <c r="E71" i="18"/>
  <c r="F70" i="18"/>
  <c r="E70" i="18"/>
  <c r="F69" i="18"/>
  <c r="E69" i="18"/>
  <c r="F68" i="18"/>
  <c r="E68" i="18"/>
  <c r="F67" i="18"/>
  <c r="E67" i="18"/>
  <c r="F96" i="18"/>
  <c r="E96" i="18"/>
  <c r="F95" i="18"/>
  <c r="E95" i="18"/>
  <c r="F97" i="18"/>
  <c r="E97" i="18"/>
  <c r="F65" i="18"/>
  <c r="E65" i="18"/>
  <c r="F61" i="18"/>
  <c r="E61" i="18"/>
  <c r="F109" i="18"/>
  <c r="E109" i="18"/>
  <c r="C17" i="10"/>
  <c r="C16" i="10"/>
  <c r="C15" i="10"/>
  <c r="C14" i="10"/>
  <c r="C13" i="10"/>
  <c r="C12" i="10"/>
  <c r="C11" i="10"/>
  <c r="C10" i="10"/>
  <c r="C9" i="10"/>
  <c r="C8" i="10"/>
  <c r="C7" i="10"/>
  <c r="C6" i="10"/>
  <c r="C5" i="10"/>
  <c r="C4" i="10"/>
  <c r="C3" i="10"/>
  <c r="B17" i="10"/>
  <c r="B16" i="10"/>
  <c r="B15" i="10"/>
  <c r="B14" i="10"/>
  <c r="B13" i="10"/>
  <c r="B12" i="10"/>
  <c r="B11" i="10"/>
  <c r="B10" i="10"/>
  <c r="B9" i="10"/>
  <c r="B8" i="10"/>
  <c r="B7" i="10"/>
  <c r="B5" i="10"/>
  <c r="B4" i="10"/>
  <c r="B3" i="10"/>
  <c r="B6" i="10"/>
  <c r="Y70" i="17" l="1"/>
  <c r="L70" i="23" s="1"/>
  <c r="Y69" i="17"/>
  <c r="L69" i="23" s="1"/>
  <c r="Y68" i="17"/>
  <c r="L68" i="23" s="1"/>
  <c r="Y67" i="17"/>
  <c r="L67" i="23" s="1"/>
  <c r="Y66" i="17"/>
  <c r="L66" i="23" s="1"/>
  <c r="Y65" i="17"/>
  <c r="L65" i="23" s="1"/>
  <c r="T41" i="18"/>
  <c r="T44" i="18"/>
  <c r="T43" i="18"/>
  <c r="T8" i="18"/>
  <c r="T6" i="18"/>
  <c r="T7" i="18"/>
  <c r="Y10" i="17"/>
  <c r="L10" i="23" s="1"/>
  <c r="Y9" i="17"/>
  <c r="L9" i="23" s="1"/>
  <c r="Y8" i="17"/>
  <c r="L8" i="23" s="1"/>
  <c r="B18" i="10"/>
  <c r="Y128" i="17"/>
  <c r="L128" i="23" s="1"/>
  <c r="T22" i="18"/>
  <c r="B19" i="10"/>
  <c r="Y18" i="17"/>
  <c r="L18" i="23" s="1"/>
  <c r="Y75" i="17"/>
  <c r="L75" i="23" s="1"/>
  <c r="Y63" i="17"/>
  <c r="L63" i="23" s="1"/>
  <c r="T126" i="18"/>
  <c r="T125" i="18"/>
  <c r="T16" i="18"/>
  <c r="Y7" i="17"/>
  <c r="L7" i="23" s="1"/>
  <c r="Y132" i="17"/>
  <c r="L132" i="23" s="1"/>
  <c r="Y95" i="17"/>
  <c r="L95" i="23" s="1"/>
  <c r="Y92" i="17"/>
  <c r="L92" i="23" s="1"/>
  <c r="T133" i="18"/>
  <c r="T32" i="18"/>
  <c r="Y31" i="17"/>
  <c r="L31" i="23" s="1"/>
  <c r="Y141" i="17"/>
  <c r="L141" i="23" s="1"/>
  <c r="Y140" i="17"/>
  <c r="L140" i="23" s="1"/>
  <c r="Y100" i="17"/>
  <c r="L100" i="23" s="1"/>
  <c r="Y99" i="17"/>
  <c r="L99" i="23" s="1"/>
  <c r="Y91" i="17"/>
  <c r="L91" i="23" s="1"/>
  <c r="Y79" i="17"/>
  <c r="L79" i="23" s="1"/>
  <c r="T78" i="18"/>
  <c r="T77" i="18"/>
  <c r="T76" i="18"/>
  <c r="T75" i="18"/>
  <c r="T139" i="18"/>
  <c r="T15" i="18"/>
  <c r="T37" i="18"/>
  <c r="Y36" i="17"/>
  <c r="L36" i="23" s="1"/>
  <c r="Y25" i="17"/>
  <c r="L25" i="23" s="1"/>
  <c r="Y55" i="17"/>
  <c r="L55" i="23" s="1"/>
  <c r="Y54" i="17"/>
  <c r="L54" i="23" s="1"/>
  <c r="Y53" i="17"/>
  <c r="L53" i="23" s="1"/>
  <c r="T39" i="18"/>
  <c r="T5" i="18"/>
  <c r="Y32" i="17"/>
  <c r="L32" i="23" s="1"/>
  <c r="Y76" i="17"/>
  <c r="L76" i="23" s="1"/>
  <c r="Y56" i="17"/>
  <c r="L56" i="23" s="1"/>
  <c r="T62" i="18"/>
  <c r="T121" i="18"/>
  <c r="Y118" i="17"/>
  <c r="L118" i="23" s="1"/>
  <c r="Y117" i="17"/>
  <c r="L117" i="23" s="1"/>
  <c r="Y116" i="17"/>
  <c r="L116" i="23" s="1"/>
  <c r="Y115" i="17"/>
  <c r="L115" i="23" s="1"/>
  <c r="Y114" i="17"/>
  <c r="L114" i="23" s="1"/>
  <c r="Y113" i="17"/>
  <c r="L113" i="23" s="1"/>
  <c r="Y112" i="17"/>
  <c r="L112" i="23" s="1"/>
  <c r="Y111" i="17"/>
  <c r="L111" i="23" s="1"/>
  <c r="Y110" i="17"/>
  <c r="L110" i="23" s="1"/>
  <c r="Y98" i="17"/>
  <c r="L98" i="23" s="1"/>
  <c r="Y60" i="17"/>
  <c r="L60" i="23" s="1"/>
  <c r="T61" i="18"/>
  <c r="T59" i="18"/>
  <c r="T57" i="18"/>
  <c r="T56" i="18"/>
  <c r="T55" i="18"/>
  <c r="T54" i="18"/>
  <c r="T53" i="18"/>
  <c r="T50" i="18"/>
  <c r="T49" i="18"/>
  <c r="T48" i="18"/>
  <c r="T9" i="18"/>
  <c r="T18" i="18"/>
  <c r="Y16" i="17"/>
  <c r="L16" i="23" s="1"/>
  <c r="Y15" i="17"/>
  <c r="L15" i="23" s="1"/>
  <c r="Y107" i="17"/>
  <c r="L107" i="23" s="1"/>
  <c r="Y106" i="17"/>
  <c r="L106" i="23" s="1"/>
  <c r="Y104" i="17"/>
  <c r="L104" i="23" s="1"/>
  <c r="Y103" i="17"/>
  <c r="L103" i="23" s="1"/>
  <c r="Y93" i="17"/>
  <c r="L93" i="23" s="1"/>
  <c r="Y80" i="17"/>
  <c r="L80" i="23" s="1"/>
  <c r="Y74" i="17"/>
  <c r="L74" i="23" s="1"/>
  <c r="Y59" i="17"/>
  <c r="L59" i="23" s="1"/>
  <c r="Y57" i="17"/>
  <c r="L57" i="23" s="1"/>
  <c r="T65" i="18"/>
  <c r="T123" i="18"/>
  <c r="T64" i="18"/>
  <c r="T124" i="18"/>
  <c r="T30" i="18"/>
  <c r="T13" i="18"/>
  <c r="T12" i="18"/>
  <c r="T11" i="18"/>
  <c r="T10" i="18"/>
  <c r="Y26" i="17"/>
  <c r="L26" i="23" s="1"/>
  <c r="Y22" i="17"/>
  <c r="L22" i="23" s="1"/>
  <c r="Y20" i="17"/>
  <c r="L20" i="23" s="1"/>
  <c r="Y17" i="17"/>
  <c r="L17" i="23" s="1"/>
  <c r="Y11" i="17"/>
  <c r="L11" i="23" s="1"/>
  <c r="Y131" i="17"/>
  <c r="L131" i="23" s="1"/>
  <c r="Y127" i="17"/>
  <c r="L127" i="23" s="1"/>
  <c r="Y125" i="17"/>
  <c r="L125" i="23" s="1"/>
  <c r="Y124" i="17"/>
  <c r="L124" i="23" s="1"/>
  <c r="Y123" i="17"/>
  <c r="L123" i="23" s="1"/>
  <c r="Y122" i="17"/>
  <c r="L122" i="23" s="1"/>
  <c r="Y121" i="17"/>
  <c r="L121" i="23" s="1"/>
  <c r="Y102" i="17"/>
  <c r="L102" i="23" s="1"/>
  <c r="Y101" i="17"/>
  <c r="L101" i="23" s="1"/>
  <c r="Y86" i="17"/>
  <c r="L86" i="23" s="1"/>
  <c r="Y72" i="17"/>
  <c r="L72" i="23" s="1"/>
  <c r="T137" i="18"/>
  <c r="T136" i="18"/>
  <c r="T72" i="18"/>
  <c r="T71" i="18"/>
  <c r="T70" i="18"/>
  <c r="T69" i="18"/>
  <c r="T68" i="18"/>
  <c r="T87" i="18"/>
  <c r="T140" i="18"/>
  <c r="T131" i="18"/>
  <c r="T138" i="18"/>
  <c r="T35" i="18"/>
  <c r="T34" i="18"/>
  <c r="T29" i="18"/>
  <c r="T14" i="18"/>
  <c r="T28" i="18"/>
  <c r="T36" i="18"/>
  <c r="Y37" i="17"/>
  <c r="L37" i="23" s="1"/>
  <c r="Y29" i="17"/>
  <c r="L29" i="23" s="1"/>
  <c r="Y28" i="17"/>
  <c r="L28" i="23" s="1"/>
  <c r="Y19" i="17"/>
  <c r="L19" i="23" s="1"/>
  <c r="Y13" i="17"/>
  <c r="L13" i="23" s="1"/>
  <c r="Y5" i="17"/>
  <c r="L5" i="23" s="1"/>
  <c r="Y90" i="17"/>
  <c r="L90" i="23" s="1"/>
  <c r="Y89" i="17"/>
  <c r="L89" i="23" s="1"/>
  <c r="Y52" i="17"/>
  <c r="L52" i="23" s="1"/>
  <c r="T83" i="18"/>
  <c r="T82" i="18"/>
  <c r="T80" i="18"/>
  <c r="T25" i="18"/>
  <c r="T17" i="18"/>
  <c r="Y34" i="17"/>
  <c r="L34" i="23" s="1"/>
  <c r="Y24" i="17"/>
  <c r="L24" i="23" s="1"/>
  <c r="Z128" i="17"/>
  <c r="M128" i="23" s="1"/>
  <c r="U22" i="18"/>
  <c r="C19" i="10"/>
  <c r="Z18" i="17"/>
  <c r="M18" i="23" s="1"/>
  <c r="Z75" i="17"/>
  <c r="M75" i="23" s="1"/>
  <c r="Z63" i="17"/>
  <c r="M63" i="23" s="1"/>
  <c r="U126" i="18"/>
  <c r="U125" i="18"/>
  <c r="U16" i="18"/>
  <c r="Z7" i="17"/>
  <c r="M7" i="23" s="1"/>
  <c r="Z70" i="17"/>
  <c r="M70" i="23" s="1"/>
  <c r="Z69" i="17"/>
  <c r="M69" i="23" s="1"/>
  <c r="Z68" i="17"/>
  <c r="M68" i="23" s="1"/>
  <c r="Z67" i="17"/>
  <c r="M67" i="23" s="1"/>
  <c r="Z66" i="17"/>
  <c r="M66" i="23" s="1"/>
  <c r="Z65" i="17"/>
  <c r="M65" i="23" s="1"/>
  <c r="U41" i="18"/>
  <c r="U44" i="18"/>
  <c r="U43" i="18"/>
  <c r="U8" i="18"/>
  <c r="U6" i="18"/>
  <c r="U7" i="18"/>
  <c r="Z10" i="17"/>
  <c r="M10" i="23" s="1"/>
  <c r="Z9" i="17"/>
  <c r="M9" i="23" s="1"/>
  <c r="Z8" i="17"/>
  <c r="M8" i="23" s="1"/>
  <c r="C18" i="10"/>
  <c r="Z132" i="17"/>
  <c r="M132" i="23" s="1"/>
  <c r="Z95" i="17"/>
  <c r="M95" i="23" s="1"/>
  <c r="Z92" i="17"/>
  <c r="M92" i="23" s="1"/>
  <c r="U133" i="18"/>
  <c r="U32" i="18"/>
  <c r="Z31" i="17"/>
  <c r="M31" i="23" s="1"/>
  <c r="Z141" i="17"/>
  <c r="M141" i="23" s="1"/>
  <c r="Z140" i="17"/>
  <c r="M140" i="23" s="1"/>
  <c r="Z100" i="17"/>
  <c r="M100" i="23" s="1"/>
  <c r="Z99" i="17"/>
  <c r="M99" i="23" s="1"/>
  <c r="Z91" i="17"/>
  <c r="M91" i="23" s="1"/>
  <c r="Z79" i="17"/>
  <c r="M79" i="23" s="1"/>
  <c r="U78" i="18"/>
  <c r="U77" i="18"/>
  <c r="U76" i="18"/>
  <c r="U75" i="18"/>
  <c r="U139" i="18"/>
  <c r="U15" i="18"/>
  <c r="U37" i="18"/>
  <c r="Z36" i="17"/>
  <c r="M36" i="23" s="1"/>
  <c r="Z25" i="17"/>
  <c r="M25" i="23" s="1"/>
  <c r="Z55" i="17"/>
  <c r="M55" i="23" s="1"/>
  <c r="Z54" i="17"/>
  <c r="M54" i="23" s="1"/>
  <c r="Z53" i="17"/>
  <c r="M53" i="23" s="1"/>
  <c r="U39" i="18"/>
  <c r="U5" i="18"/>
  <c r="Z32" i="17"/>
  <c r="M32" i="23" s="1"/>
  <c r="Z76" i="17"/>
  <c r="M76" i="23" s="1"/>
  <c r="Z56" i="17"/>
  <c r="M56" i="23" s="1"/>
  <c r="U62" i="18"/>
  <c r="U121" i="18"/>
  <c r="Z118" i="17"/>
  <c r="M118" i="23" s="1"/>
  <c r="Z117" i="17"/>
  <c r="M117" i="23" s="1"/>
  <c r="Z116" i="17"/>
  <c r="M116" i="23" s="1"/>
  <c r="Z115" i="17"/>
  <c r="M115" i="23" s="1"/>
  <c r="Z114" i="17"/>
  <c r="M114" i="23" s="1"/>
  <c r="Z113" i="17"/>
  <c r="M113" i="23" s="1"/>
  <c r="Z112" i="17"/>
  <c r="M112" i="23" s="1"/>
  <c r="Z111" i="17"/>
  <c r="M111" i="23" s="1"/>
  <c r="Z110" i="17"/>
  <c r="M110" i="23" s="1"/>
  <c r="Z98" i="17"/>
  <c r="M98" i="23" s="1"/>
  <c r="Z60" i="17"/>
  <c r="M60" i="23" s="1"/>
  <c r="U61" i="18"/>
  <c r="U59" i="18"/>
  <c r="U57" i="18"/>
  <c r="U56" i="18"/>
  <c r="U55" i="18"/>
  <c r="U54" i="18"/>
  <c r="U53" i="18"/>
  <c r="U50" i="18"/>
  <c r="U49" i="18"/>
  <c r="U48" i="18"/>
  <c r="U9" i="18"/>
  <c r="U18" i="18"/>
  <c r="Z16" i="17"/>
  <c r="M16" i="23" s="1"/>
  <c r="Z15" i="17"/>
  <c r="M15" i="23" s="1"/>
  <c r="Z107" i="17"/>
  <c r="M107" i="23" s="1"/>
  <c r="Z106" i="17"/>
  <c r="M106" i="23" s="1"/>
  <c r="Z104" i="17"/>
  <c r="M104" i="23" s="1"/>
  <c r="Z103" i="17"/>
  <c r="M103" i="23" s="1"/>
  <c r="Z93" i="17"/>
  <c r="M93" i="23" s="1"/>
  <c r="Z80" i="17"/>
  <c r="M80" i="23" s="1"/>
  <c r="Z74" i="17"/>
  <c r="M74" i="23" s="1"/>
  <c r="Z59" i="17"/>
  <c r="M59" i="23" s="1"/>
  <c r="Z57" i="17"/>
  <c r="M57" i="23" s="1"/>
  <c r="U65" i="18"/>
  <c r="U123" i="18"/>
  <c r="U64" i="18"/>
  <c r="U124" i="18"/>
  <c r="U30" i="18"/>
  <c r="U13" i="18"/>
  <c r="U12" i="18"/>
  <c r="U11" i="18"/>
  <c r="U10" i="18"/>
  <c r="Z26" i="17"/>
  <c r="M26" i="23" s="1"/>
  <c r="Z22" i="17"/>
  <c r="M22" i="23" s="1"/>
  <c r="Z20" i="17"/>
  <c r="M20" i="23" s="1"/>
  <c r="Z17" i="17"/>
  <c r="M17" i="23" s="1"/>
  <c r="Z11" i="17"/>
  <c r="M11" i="23" s="1"/>
  <c r="Z131" i="17"/>
  <c r="M131" i="23" s="1"/>
  <c r="Z127" i="17"/>
  <c r="M127" i="23" s="1"/>
  <c r="Z125" i="17"/>
  <c r="M125" i="23" s="1"/>
  <c r="Z124" i="17"/>
  <c r="M124" i="23" s="1"/>
  <c r="Z123" i="17"/>
  <c r="M123" i="23" s="1"/>
  <c r="Z122" i="17"/>
  <c r="M122" i="23" s="1"/>
  <c r="Z121" i="17"/>
  <c r="M121" i="23" s="1"/>
  <c r="Z102" i="17"/>
  <c r="M102" i="23" s="1"/>
  <c r="Z101" i="17"/>
  <c r="M101" i="23" s="1"/>
  <c r="Z86" i="17"/>
  <c r="M86" i="23" s="1"/>
  <c r="Z72" i="17"/>
  <c r="M72" i="23" s="1"/>
  <c r="U137" i="18"/>
  <c r="U136" i="18"/>
  <c r="U72" i="18"/>
  <c r="U71" i="18"/>
  <c r="U70" i="18"/>
  <c r="U69" i="18"/>
  <c r="U68" i="18"/>
  <c r="U87" i="18"/>
  <c r="U140" i="18"/>
  <c r="U131" i="18"/>
  <c r="U138" i="18"/>
  <c r="U35" i="18"/>
  <c r="U34" i="18"/>
  <c r="U29" i="18"/>
  <c r="U14" i="18"/>
  <c r="U28" i="18"/>
  <c r="U36" i="18"/>
  <c r="Z37" i="17"/>
  <c r="M37" i="23" s="1"/>
  <c r="Z29" i="17"/>
  <c r="M29" i="23" s="1"/>
  <c r="Z28" i="17"/>
  <c r="M28" i="23" s="1"/>
  <c r="Z19" i="17"/>
  <c r="M19" i="23" s="1"/>
  <c r="Z13" i="17"/>
  <c r="M13" i="23" s="1"/>
  <c r="Z5" i="17"/>
  <c r="M5" i="23" s="1"/>
  <c r="Z90" i="17"/>
  <c r="M90" i="23" s="1"/>
  <c r="Z89" i="17"/>
  <c r="M89" i="23" s="1"/>
  <c r="Z52" i="17"/>
  <c r="M52" i="23" s="1"/>
  <c r="U83" i="18"/>
  <c r="U82" i="18"/>
  <c r="U80" i="18"/>
  <c r="U25" i="18"/>
  <c r="U17" i="18"/>
  <c r="Z34" i="17"/>
  <c r="M34" i="23" s="1"/>
  <c r="Z24" i="17"/>
  <c r="M24" i="23" s="1"/>
  <c r="F11" i="2"/>
  <c r="F17" i="2"/>
  <c r="F20" i="2"/>
  <c r="F22" i="2"/>
  <c r="F26" i="2"/>
  <c r="F31" i="2"/>
  <c r="K11" i="2"/>
  <c r="M11" i="2"/>
  <c r="N11" i="2"/>
  <c r="O11" i="2"/>
  <c r="Q11" i="2"/>
  <c r="K17" i="2"/>
  <c r="M17" i="2"/>
  <c r="N17" i="2"/>
  <c r="O17" i="2"/>
  <c r="Q17" i="2"/>
  <c r="K20" i="2"/>
  <c r="M20" i="2"/>
  <c r="N20" i="2"/>
  <c r="O20" i="2"/>
  <c r="Q20" i="2"/>
  <c r="H22" i="2"/>
  <c r="I22" i="2"/>
  <c r="J22" i="2"/>
  <c r="K22" i="2"/>
  <c r="L22" i="2"/>
  <c r="M22" i="2"/>
  <c r="N22" i="2"/>
  <c r="O22" i="2"/>
  <c r="P22" i="2"/>
  <c r="Q22" i="2"/>
  <c r="K26" i="2"/>
  <c r="M26" i="2"/>
  <c r="N26" i="2"/>
  <c r="O26" i="2"/>
  <c r="P26" i="2"/>
  <c r="Q26" i="2"/>
  <c r="K31" i="2"/>
  <c r="M31" i="2"/>
  <c r="N31" i="2"/>
  <c r="O31" i="2"/>
  <c r="Q31" i="2"/>
  <c r="Z73" i="17" l="1"/>
  <c r="M73" i="23" s="1"/>
  <c r="U42" i="18"/>
  <c r="Z139" i="17"/>
  <c r="M139" i="23" s="1"/>
  <c r="Z138" i="17"/>
  <c r="M138" i="23" s="1"/>
  <c r="Z137" i="17"/>
  <c r="M137" i="23" s="1"/>
  <c r="Z136" i="17"/>
  <c r="M136" i="23" s="1"/>
  <c r="Z135" i="17"/>
  <c r="M135" i="23" s="1"/>
  <c r="Z134" i="17"/>
  <c r="M134" i="23" s="1"/>
  <c r="Z133" i="17"/>
  <c r="M133" i="23" s="1"/>
  <c r="Z130" i="17"/>
  <c r="M130" i="23" s="1"/>
  <c r="Z129" i="17"/>
  <c r="M129" i="23" s="1"/>
  <c r="Z126" i="17"/>
  <c r="M126" i="23" s="1"/>
  <c r="Z120" i="17"/>
  <c r="M120" i="23" s="1"/>
  <c r="Z119" i="17"/>
  <c r="M119" i="23" s="1"/>
  <c r="Z109" i="17"/>
  <c r="M109" i="23" s="1"/>
  <c r="Z108" i="17"/>
  <c r="M108" i="23" s="1"/>
  <c r="Z105" i="17"/>
  <c r="M105" i="23" s="1"/>
  <c r="Z88" i="17"/>
  <c r="M88" i="23" s="1"/>
  <c r="Z87" i="17"/>
  <c r="M87" i="23" s="1"/>
  <c r="Z85" i="17"/>
  <c r="M85" i="23" s="1"/>
  <c r="Z84" i="17"/>
  <c r="M84" i="23" s="1"/>
  <c r="Z83" i="17"/>
  <c r="M83" i="23" s="1"/>
  <c r="Z82" i="17"/>
  <c r="M82" i="23" s="1"/>
  <c r="Z81" i="17"/>
  <c r="M81" i="23" s="1"/>
  <c r="Z62" i="17"/>
  <c r="M62" i="23" s="1"/>
  <c r="Z61" i="17"/>
  <c r="M61" i="23" s="1"/>
  <c r="Z51" i="17"/>
  <c r="M51" i="23" s="1"/>
  <c r="Z50" i="17"/>
  <c r="M50" i="23" s="1"/>
  <c r="Z49" i="17"/>
  <c r="M49" i="23" s="1"/>
  <c r="Z48" i="17"/>
  <c r="M48" i="23" s="1"/>
  <c r="Z47" i="17"/>
  <c r="M47" i="23" s="1"/>
  <c r="Z46" i="17"/>
  <c r="M46" i="23" s="1"/>
  <c r="Z45" i="17"/>
  <c r="M45" i="23" s="1"/>
  <c r="Z44" i="17"/>
  <c r="M44" i="23" s="1"/>
  <c r="Z43" i="17"/>
  <c r="M43" i="23" s="1"/>
  <c r="Z42" i="17"/>
  <c r="M42" i="23" s="1"/>
  <c r="Z41" i="17"/>
  <c r="M41" i="23" s="1"/>
  <c r="Z40" i="17"/>
  <c r="M40" i="23" s="1"/>
  <c r="U105" i="18"/>
  <c r="U103" i="18"/>
  <c r="U102" i="18"/>
  <c r="U118" i="18"/>
  <c r="U117" i="18"/>
  <c r="U116" i="18"/>
  <c r="U115" i="18"/>
  <c r="U130" i="18"/>
  <c r="U129" i="18"/>
  <c r="U93" i="18"/>
  <c r="U67" i="18"/>
  <c r="U114" i="18"/>
  <c r="U92" i="18"/>
  <c r="U91" i="18"/>
  <c r="U99" i="18"/>
  <c r="U98" i="18"/>
  <c r="U96" i="18"/>
  <c r="U95" i="18"/>
  <c r="U97" i="18"/>
  <c r="U52" i="18"/>
  <c r="U113" i="18"/>
  <c r="U111" i="18"/>
  <c r="U86" i="18"/>
  <c r="U110" i="18"/>
  <c r="U108" i="18"/>
  <c r="U107" i="18"/>
  <c r="U106" i="18"/>
  <c r="U85" i="18"/>
  <c r="U84" i="18"/>
  <c r="U33" i="18"/>
  <c r="U24" i="18"/>
  <c r="U31" i="18"/>
  <c r="U21" i="18"/>
  <c r="U20" i="18"/>
  <c r="U19" i="18"/>
  <c r="U27" i="18"/>
  <c r="U26" i="18"/>
  <c r="U23" i="18"/>
  <c r="Z39" i="17"/>
  <c r="M39" i="23" s="1"/>
  <c r="Z35" i="17"/>
  <c r="M35" i="23" s="1"/>
  <c r="Z33" i="17"/>
  <c r="M33" i="23" s="1"/>
  <c r="Z30" i="17"/>
  <c r="M30" i="23" s="1"/>
  <c r="Z27" i="17"/>
  <c r="M27" i="23" s="1"/>
  <c r="Z23" i="17"/>
  <c r="M23" i="23" s="1"/>
  <c r="Z21" i="17"/>
  <c r="M21" i="23" s="1"/>
  <c r="Z14" i="17"/>
  <c r="M14" i="23" s="1"/>
  <c r="Z12" i="17"/>
  <c r="M12" i="23" s="1"/>
  <c r="Z6" i="17"/>
  <c r="M6" i="23" s="1"/>
  <c r="Y139" i="17"/>
  <c r="L139" i="23" s="1"/>
  <c r="Y138" i="17"/>
  <c r="L138" i="23" s="1"/>
  <c r="Y137" i="17"/>
  <c r="L137" i="23" s="1"/>
  <c r="Y136" i="17"/>
  <c r="L136" i="23" s="1"/>
  <c r="Y135" i="17"/>
  <c r="L135" i="23" s="1"/>
  <c r="Y134" i="17"/>
  <c r="L134" i="23" s="1"/>
  <c r="Y133" i="17"/>
  <c r="L133" i="23" s="1"/>
  <c r="Y130" i="17"/>
  <c r="L130" i="23" s="1"/>
  <c r="Y129" i="17"/>
  <c r="L129" i="23" s="1"/>
  <c r="Y126" i="17"/>
  <c r="L126" i="23" s="1"/>
  <c r="Y120" i="17"/>
  <c r="L120" i="23" s="1"/>
  <c r="Y119" i="17"/>
  <c r="L119" i="23" s="1"/>
  <c r="Y109" i="17"/>
  <c r="L109" i="23" s="1"/>
  <c r="Y108" i="17"/>
  <c r="L108" i="23" s="1"/>
  <c r="Y105" i="17"/>
  <c r="L105" i="23" s="1"/>
  <c r="Y88" i="17"/>
  <c r="L88" i="23" s="1"/>
  <c r="Y87" i="17"/>
  <c r="L87" i="23" s="1"/>
  <c r="Y85" i="17"/>
  <c r="L85" i="23" s="1"/>
  <c r="Y84" i="17"/>
  <c r="L84" i="23" s="1"/>
  <c r="Y83" i="17"/>
  <c r="L83" i="23" s="1"/>
  <c r="Y82" i="17"/>
  <c r="L82" i="23" s="1"/>
  <c r="Y81" i="17"/>
  <c r="L81" i="23" s="1"/>
  <c r="Y62" i="17"/>
  <c r="L62" i="23" s="1"/>
  <c r="Y61" i="17"/>
  <c r="L61" i="23" s="1"/>
  <c r="Y51" i="17"/>
  <c r="L51" i="23" s="1"/>
  <c r="Y50" i="17"/>
  <c r="L50" i="23" s="1"/>
  <c r="Y49" i="17"/>
  <c r="L49" i="23" s="1"/>
  <c r="Y48" i="17"/>
  <c r="L48" i="23" s="1"/>
  <c r="Y47" i="17"/>
  <c r="L47" i="23" s="1"/>
  <c r="Y46" i="17"/>
  <c r="L46" i="23" s="1"/>
  <c r="Y45" i="17"/>
  <c r="L45" i="23" s="1"/>
  <c r="Y44" i="17"/>
  <c r="L44" i="23" s="1"/>
  <c r="Y43" i="17"/>
  <c r="L43" i="23" s="1"/>
  <c r="Y42" i="17"/>
  <c r="L42" i="23" s="1"/>
  <c r="Y41" i="17"/>
  <c r="L41" i="23" s="1"/>
  <c r="Y40" i="17"/>
  <c r="L40" i="23" s="1"/>
  <c r="T105" i="18"/>
  <c r="T103" i="18"/>
  <c r="T102" i="18"/>
  <c r="T118" i="18"/>
  <c r="T117" i="18"/>
  <c r="T116" i="18"/>
  <c r="T115" i="18"/>
  <c r="T130" i="18"/>
  <c r="T129" i="18"/>
  <c r="T93" i="18"/>
  <c r="T67" i="18"/>
  <c r="T114" i="18"/>
  <c r="T92" i="18"/>
  <c r="T91" i="18"/>
  <c r="T99" i="18"/>
  <c r="T98" i="18"/>
  <c r="T96" i="18"/>
  <c r="T95" i="18"/>
  <c r="T97" i="18"/>
  <c r="T52" i="18"/>
  <c r="T113" i="18"/>
  <c r="T111" i="18"/>
  <c r="T86" i="18"/>
  <c r="T110" i="18"/>
  <c r="T108" i="18"/>
  <c r="T107" i="18"/>
  <c r="T106" i="18"/>
  <c r="T85" i="18"/>
  <c r="T84" i="18"/>
  <c r="T33" i="18"/>
  <c r="T24" i="18"/>
  <c r="T31" i="18"/>
  <c r="T21" i="18"/>
  <c r="T20" i="18"/>
  <c r="T19" i="18"/>
  <c r="T27" i="18"/>
  <c r="T26" i="18"/>
  <c r="T23" i="18"/>
  <c r="Y39" i="17"/>
  <c r="L39" i="23" s="1"/>
  <c r="Y35" i="17"/>
  <c r="L35" i="23" s="1"/>
  <c r="Y33" i="17"/>
  <c r="L33" i="23" s="1"/>
  <c r="Y30" i="17"/>
  <c r="L30" i="23" s="1"/>
  <c r="Y27" i="17"/>
  <c r="L27" i="23" s="1"/>
  <c r="Y23" i="17"/>
  <c r="L23" i="23" s="1"/>
  <c r="Y21" i="17"/>
  <c r="L21" i="23" s="1"/>
  <c r="Y14" i="17"/>
  <c r="L14" i="23" s="1"/>
  <c r="Y12" i="17"/>
  <c r="L12" i="23" s="1"/>
  <c r="Y6" i="17"/>
  <c r="L6" i="23" s="1"/>
  <c r="Y73" i="17"/>
  <c r="L73" i="23" s="1"/>
  <c r="T42"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Charles Eley</author>
  </authors>
  <commentList>
    <comment ref="Y2" authorId="0" shapeId="0" xr:uid="{00000000-0006-0000-0100-000001000000}">
      <text>
        <r>
          <rPr>
            <sz val="9"/>
            <color indexed="81"/>
            <rFont val="Tahoma"/>
            <family val="2"/>
          </rPr>
          <t>Source: CEUS</t>
        </r>
      </text>
    </comment>
    <comment ref="Z2" authorId="0" shapeId="0" xr:uid="{00000000-0006-0000-0100-000002000000}">
      <text>
        <r>
          <rPr>
            <sz val="9"/>
            <color indexed="81"/>
            <rFont val="Tahoma"/>
            <family val="2"/>
          </rPr>
          <t>Source: CEUS</t>
        </r>
      </text>
    </comment>
    <comment ref="B3" authorId="0" shapeId="0" xr:uid="{00000000-0006-0000-0100-000003000000}">
      <text>
        <r>
          <rPr>
            <sz val="9"/>
            <color indexed="81"/>
            <rFont val="Tahoma"/>
            <family val="2"/>
          </rPr>
          <t>Source: 90.1-2001</t>
        </r>
      </text>
    </comment>
    <comment ref="C3" authorId="0" shapeId="0" xr:uid="{00000000-0006-0000-0100-000004000000}">
      <text>
        <r>
          <rPr>
            <sz val="9"/>
            <color indexed="81"/>
            <rFont val="Tahoma"/>
            <family val="2"/>
          </rPr>
          <t>Source: 90.1-2007</t>
        </r>
      </text>
    </comment>
    <comment ref="D3" authorId="0" shapeId="0" xr:uid="{00000000-0006-0000-0100-000005000000}">
      <text>
        <r>
          <rPr>
            <sz val="9"/>
            <color indexed="81"/>
            <rFont val="Tahoma"/>
            <family val="2"/>
          </rPr>
          <t>Source: 90.1-2010</t>
        </r>
      </text>
    </comment>
    <comment ref="E3" authorId="0" shapeId="0" xr:uid="{00000000-0006-0000-0100-000006000000}">
      <text>
        <r>
          <rPr>
            <sz val="9"/>
            <color indexed="81"/>
            <rFont val="Tahoma"/>
            <family val="2"/>
          </rPr>
          <t>Source: 90.1-2010</t>
        </r>
      </text>
    </comment>
    <comment ref="F3" authorId="0" shapeId="0" xr:uid="{00000000-0006-0000-0100-000007000000}">
      <text>
        <r>
          <rPr>
            <sz val="9"/>
            <color indexed="81"/>
            <rFont val="Tahoma"/>
            <family val="2"/>
          </rPr>
          <t>Source: 90.1-2013BM</t>
        </r>
      </text>
    </comment>
    <comment ref="G3" authorId="0" shapeId="0" xr:uid="{00000000-0006-0000-0100-000008000000}">
      <text>
        <r>
          <rPr>
            <sz val="9"/>
            <color indexed="81"/>
            <rFont val="Tahoma"/>
            <family val="2"/>
          </rPr>
          <t>Source: ACM05</t>
        </r>
      </text>
    </comment>
    <comment ref="H3" authorId="0" shapeId="0" xr:uid="{00000000-0006-0000-0100-000009000000}">
      <text>
        <r>
          <rPr>
            <b/>
            <sz val="9"/>
            <color indexed="81"/>
            <rFont val="Tahoma"/>
            <family val="2"/>
          </rPr>
          <t>Charles Eley:</t>
        </r>
        <r>
          <rPr>
            <sz val="9"/>
            <color indexed="81"/>
            <rFont val="Tahoma"/>
            <family val="2"/>
          </rPr>
          <t xml:space="preserve">
This is only relevant for 90.1-2013-BM
</t>
        </r>
      </text>
    </comment>
    <comment ref="I3" authorId="0" shapeId="0" xr:uid="{00000000-0006-0000-0100-00000A000000}">
      <text>
        <r>
          <rPr>
            <sz val="9"/>
            <color indexed="81"/>
            <rFont val="Tahoma"/>
            <family val="2"/>
          </rPr>
          <t xml:space="preserve">Source: NREL 956 and Eley Analysis. See separate spreadsheet and documentation.
</t>
        </r>
      </text>
    </comment>
    <comment ref="K3" authorId="0" shapeId="0" xr:uid="{00000000-0006-0000-0100-00000B000000}">
      <text>
        <r>
          <rPr>
            <sz val="9"/>
            <color indexed="81"/>
            <rFont val="Tahoma"/>
            <family val="2"/>
          </rPr>
          <t>Source: NREL/TP-550-41956</t>
        </r>
      </text>
    </comment>
    <comment ref="L3" authorId="0" shapeId="0" xr:uid="{00000000-0006-0000-0100-00000C000000}">
      <text>
        <r>
          <rPr>
            <sz val="9"/>
            <color indexed="81"/>
            <rFont val="Tahoma"/>
            <family val="2"/>
          </rPr>
          <t>Source: NREL/TP-550-41956</t>
        </r>
      </text>
    </comment>
    <comment ref="M3" authorId="0" shapeId="0" xr:uid="{00000000-0006-0000-0100-00000D000000}">
      <text>
        <r>
          <rPr>
            <sz val="9"/>
            <color indexed="81"/>
            <rFont val="Tahoma"/>
            <family val="2"/>
          </rPr>
          <t>Source: NREL/TP-550-41956</t>
        </r>
      </text>
    </comment>
    <comment ref="N3" authorId="0" shapeId="0" xr:uid="{00000000-0006-0000-0100-00000E000000}">
      <text>
        <r>
          <rPr>
            <sz val="9"/>
            <color indexed="81"/>
            <rFont val="Tahoma"/>
            <family val="2"/>
          </rPr>
          <t>Source: ACM05</t>
        </r>
      </text>
    </comment>
    <comment ref="O3" authorId="0" shapeId="0" xr:uid="{00000000-0006-0000-0100-00000F000000}">
      <text>
        <r>
          <rPr>
            <sz val="9"/>
            <color indexed="81"/>
            <rFont val="Tahoma"/>
            <family val="2"/>
          </rPr>
          <t>Source: ECB-CS</t>
        </r>
      </text>
    </comment>
    <comment ref="P3" authorId="0" shapeId="0" xr:uid="{00000000-0006-0000-0100-000010000000}">
      <text>
        <r>
          <rPr>
            <sz val="9"/>
            <color indexed="81"/>
            <rFont val="Tahoma"/>
            <family val="2"/>
          </rPr>
          <t>Source: ACM05</t>
        </r>
      </text>
    </comment>
    <comment ref="Q3" authorId="0" shapeId="0" xr:uid="{00000000-0006-0000-0100-000011000000}">
      <text>
        <r>
          <rPr>
            <sz val="9"/>
            <color indexed="81"/>
            <rFont val="Tahoma"/>
            <family val="2"/>
          </rPr>
          <t xml:space="preserve">Source: ACM05
</t>
        </r>
      </text>
    </comment>
    <comment ref="R3" authorId="0" shapeId="0" xr:uid="{00000000-0006-0000-0100-000012000000}">
      <text>
        <r>
          <rPr>
            <b/>
            <sz val="9"/>
            <color indexed="81"/>
            <rFont val="Tahoma"/>
            <family val="2"/>
          </rPr>
          <t>Charles Eley:</t>
        </r>
        <r>
          <rPr>
            <sz val="9"/>
            <color indexed="81"/>
            <rFont val="Tahoma"/>
            <family val="2"/>
          </rPr>
          <t xml:space="preserve">
Source SSPC 90.1 Envelope Trade-off Rules
</t>
        </r>
      </text>
    </comment>
    <comment ref="S3" authorId="0" shapeId="0" xr:uid="{00000000-0006-0000-0100-000013000000}">
      <text>
        <r>
          <rPr>
            <b/>
            <sz val="9"/>
            <color indexed="81"/>
            <rFont val="Tahoma"/>
            <family val="2"/>
          </rPr>
          <t>Charles Eley:</t>
        </r>
        <r>
          <rPr>
            <sz val="9"/>
            <color indexed="81"/>
            <rFont val="Tahoma"/>
            <family val="2"/>
          </rPr>
          <t xml:space="preserve">
Source SSPC 90.1 Envelope Trade-off Rules
</t>
        </r>
      </text>
    </comment>
    <comment ref="T3" authorId="0" shapeId="0" xr:uid="{00000000-0006-0000-0100-000014000000}">
      <text>
        <r>
          <rPr>
            <b/>
            <sz val="9"/>
            <color indexed="81"/>
            <rFont val="Tahoma"/>
            <family val="2"/>
          </rPr>
          <t>Charles Eley:</t>
        </r>
        <r>
          <rPr>
            <sz val="9"/>
            <color indexed="81"/>
            <rFont val="Tahoma"/>
            <family val="2"/>
          </rPr>
          <t xml:space="preserve">
Source SSPC 90.1 Envelope Trade-off Rules
</t>
        </r>
      </text>
    </comment>
    <comment ref="U3" authorId="0" shapeId="0" xr:uid="{00000000-0006-0000-0100-000015000000}">
      <text>
        <r>
          <rPr>
            <b/>
            <sz val="9"/>
            <color indexed="81"/>
            <rFont val="Tahoma"/>
            <family val="2"/>
          </rPr>
          <t>Charles Eley:</t>
        </r>
        <r>
          <rPr>
            <sz val="9"/>
            <color indexed="81"/>
            <rFont val="Tahoma"/>
            <family val="2"/>
          </rPr>
          <t xml:space="preserve">
Source SSPC 90.1 Envelope Trade-off Rules
</t>
        </r>
      </text>
    </comment>
    <comment ref="V3" authorId="0" shapeId="0" xr:uid="{00000000-0006-0000-0100-000016000000}">
      <text>
        <r>
          <rPr>
            <sz val="9"/>
            <color indexed="81"/>
            <rFont val="Tahoma"/>
            <family val="2"/>
          </rPr>
          <t>Source: ACM05</t>
        </r>
      </text>
    </comment>
    <comment ref="W3" authorId="0" shapeId="0" xr:uid="{00000000-0006-0000-0100-000017000000}">
      <text>
        <r>
          <rPr>
            <sz val="9"/>
            <color indexed="81"/>
            <rFont val="Tahoma"/>
            <family val="2"/>
          </rPr>
          <t>Source: ECB-CS</t>
        </r>
      </text>
    </comment>
    <comment ref="X3" authorId="0" shapeId="0" xr:uid="{00000000-0006-0000-0100-000018000000}">
      <text>
        <r>
          <rPr>
            <sz val="9"/>
            <color indexed="81"/>
            <rFont val="Tahoma"/>
            <family val="2"/>
          </rPr>
          <t>Source: ECB-CS</t>
        </r>
      </text>
    </comment>
    <comment ref="AD3" authorId="0" shapeId="0" xr:uid="{00000000-0006-0000-0100-000019000000}">
      <text>
        <r>
          <rPr>
            <b/>
            <sz val="9"/>
            <color indexed="81"/>
            <rFont val="Tahoma"/>
            <family val="2"/>
          </rPr>
          <t>Charles Eley:</t>
        </r>
        <r>
          <rPr>
            <sz val="9"/>
            <color indexed="81"/>
            <rFont val="Tahoma"/>
            <family val="2"/>
          </rPr>
          <t xml:space="preserve">
What do these refer to? 
</t>
        </r>
      </text>
    </comment>
    <comment ref="A4" authorId="0" shapeId="0" xr:uid="{00000000-0006-0000-0100-00001A000000}">
      <text>
        <r>
          <rPr>
            <b/>
            <sz val="9"/>
            <color indexed="81"/>
            <rFont val="Tahoma"/>
            <family val="2"/>
          </rPr>
          <t>Charles Eley:</t>
        </r>
        <r>
          <rPr>
            <sz val="9"/>
            <color indexed="81"/>
            <rFont val="Tahoma"/>
            <family val="2"/>
          </rPr>
          <t xml:space="preserve">
These categories are consistent with Table G3.1.1-2</t>
        </r>
      </text>
    </comment>
    <comment ref="A38" authorId="0" shapeId="0" xr:uid="{00000000-0006-0000-0100-00001B000000}">
      <text>
        <r>
          <rPr>
            <b/>
            <sz val="9"/>
            <color indexed="81"/>
            <rFont val="Tahoma"/>
            <family val="2"/>
          </rPr>
          <t>Charles Eley:</t>
        </r>
        <r>
          <rPr>
            <sz val="9"/>
            <color indexed="81"/>
            <rFont val="Tahoma"/>
            <family val="2"/>
          </rPr>
          <t xml:space="preserve">
These classifications are consistent with Table G3.7.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Charles Eley</author>
  </authors>
  <commentList>
    <comment ref="G7" authorId="0" shapeId="0" xr:uid="{00000000-0006-0000-0400-000001000000}">
      <text>
        <r>
          <rPr>
            <b/>
            <sz val="9"/>
            <color indexed="81"/>
            <rFont val="Tahoma"/>
            <family val="2"/>
          </rPr>
          <t>Charles Eley:</t>
        </r>
        <r>
          <rPr>
            <sz val="9"/>
            <color indexed="81"/>
            <rFont val="Tahoma"/>
            <family val="2"/>
          </rPr>
          <t xml:space="preserve">
Map to 50% government office and 50% public assembly</t>
        </r>
      </text>
    </comment>
    <comment ref="A98" authorId="0" shapeId="0" xr:uid="{00000000-0006-0000-0400-000002000000}">
      <text>
        <r>
          <rPr>
            <b/>
            <sz val="9"/>
            <color indexed="81"/>
            <rFont val="Tahoma"/>
            <family val="2"/>
          </rPr>
          <t>Charles Eley:</t>
        </r>
        <r>
          <rPr>
            <sz val="9"/>
            <color indexed="81"/>
            <rFont val="Tahoma"/>
            <family val="2"/>
          </rPr>
          <t xml:space="preserve">
This is not a common space type if it is specific to hospitals.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Charles Eley</author>
  </authors>
  <commentList>
    <comment ref="C15" authorId="0" shapeId="0" xr:uid="{00000000-0006-0000-0900-000001000000}">
      <text>
        <r>
          <rPr>
            <b/>
            <sz val="9"/>
            <color indexed="81"/>
            <rFont val="Tahoma"/>
            <family val="2"/>
          </rPr>
          <t>Charles Eley:</t>
        </r>
        <r>
          <rPr>
            <sz val="9"/>
            <color indexed="81"/>
            <rFont val="Tahoma"/>
            <family val="2"/>
          </rPr>
          <t xml:space="preserve">
From CBECS analysis</t>
        </r>
      </text>
    </comment>
    <comment ref="D15" authorId="0" shapeId="0" xr:uid="{00000000-0006-0000-0900-000002000000}">
      <text>
        <r>
          <rPr>
            <b/>
            <sz val="9"/>
            <color indexed="81"/>
            <rFont val="Tahoma"/>
            <family val="2"/>
          </rPr>
          <t>Charles Eley:</t>
        </r>
        <r>
          <rPr>
            <sz val="9"/>
            <color indexed="81"/>
            <rFont val="Tahoma"/>
            <family val="2"/>
          </rPr>
          <t xml:space="preserve">
Same as hospital, but fume hoods will add to this if they exist. </t>
        </r>
      </text>
    </comment>
    <comment ref="E15" authorId="0" shapeId="0" xr:uid="{00000000-0006-0000-0900-000003000000}">
      <text>
        <r>
          <rPr>
            <b/>
            <sz val="9"/>
            <color indexed="81"/>
            <rFont val="Tahoma"/>
            <family val="2"/>
          </rPr>
          <t>Charles Eley:</t>
        </r>
        <r>
          <rPr>
            <sz val="9"/>
            <color indexed="81"/>
            <rFont val="Tahoma"/>
            <family val="2"/>
          </rPr>
          <t xml:space="preserve">
Same as hospital</t>
        </r>
      </text>
    </comment>
    <comment ref="F15" authorId="0" shapeId="0" xr:uid="{00000000-0006-0000-0900-000004000000}">
      <text>
        <r>
          <rPr>
            <b/>
            <sz val="9"/>
            <color indexed="81"/>
            <rFont val="Tahoma"/>
            <family val="2"/>
          </rPr>
          <t>Charles Eley:</t>
        </r>
        <r>
          <rPr>
            <sz val="9"/>
            <color indexed="81"/>
            <rFont val="Tahoma"/>
            <family val="2"/>
          </rPr>
          <t xml:space="preserve">
Same as hospital</t>
        </r>
      </text>
    </comment>
    <comment ref="G15" authorId="0" shapeId="0" xr:uid="{00000000-0006-0000-0900-000005000000}">
      <text>
        <r>
          <rPr>
            <b/>
            <sz val="9"/>
            <color indexed="81"/>
            <rFont val="Tahoma"/>
            <family val="2"/>
          </rPr>
          <t>Charles Eley:</t>
        </r>
        <r>
          <rPr>
            <sz val="9"/>
            <color indexed="81"/>
            <rFont val="Tahoma"/>
            <family val="2"/>
          </rPr>
          <t xml:space="preserve">
Same as hospital</t>
        </r>
      </text>
    </comment>
    <comment ref="H15" authorId="0" shapeId="0" xr:uid="{00000000-0006-0000-0900-000006000000}">
      <text>
        <r>
          <rPr>
            <b/>
            <sz val="9"/>
            <color indexed="81"/>
            <rFont val="Tahoma"/>
            <family val="2"/>
          </rPr>
          <t>Charles Eley:</t>
        </r>
        <r>
          <rPr>
            <sz val="9"/>
            <color indexed="81"/>
            <rFont val="Tahoma"/>
            <family val="2"/>
          </rPr>
          <t xml:space="preserve">
Same as hospital</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Charles Eley</author>
  </authors>
  <commentList>
    <comment ref="M2" authorId="0" shapeId="0" xr:uid="{00000000-0006-0000-0A00-000001000000}">
      <text>
        <r>
          <rPr>
            <b/>
            <sz val="9"/>
            <color indexed="81"/>
            <rFont val="Tahoma"/>
            <family val="2"/>
          </rPr>
          <t>Charles Eley:</t>
        </r>
        <r>
          <rPr>
            <sz val="9"/>
            <color indexed="81"/>
            <rFont val="Tahoma"/>
            <family val="2"/>
          </rPr>
          <t xml:space="preserve">
This is the value that is used.</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Charles Eley</author>
  </authors>
  <commentList>
    <comment ref="A18" authorId="0" shapeId="0" xr:uid="{00000000-0006-0000-0B00-000001000000}">
      <text>
        <r>
          <rPr>
            <b/>
            <sz val="9"/>
            <color indexed="81"/>
            <rFont val="Tahoma"/>
            <family val="2"/>
          </rPr>
          <t>Charles Eley:</t>
        </r>
        <r>
          <rPr>
            <sz val="9"/>
            <color indexed="81"/>
            <rFont val="Tahoma"/>
            <family val="2"/>
          </rPr>
          <t xml:space="preserve">
This is added with double the values for restaurant. The assumption is that the food preparation area is half the size of the restaurant. </t>
        </r>
      </text>
    </comment>
    <comment ref="A19" authorId="0" shapeId="0" xr:uid="{00000000-0006-0000-0B00-000002000000}">
      <text>
        <r>
          <rPr>
            <b/>
            <sz val="9"/>
            <color indexed="81"/>
            <rFont val="Tahoma"/>
            <family val="2"/>
          </rPr>
          <t>Charles Eley:</t>
        </r>
        <r>
          <rPr>
            <sz val="9"/>
            <color indexed="81"/>
            <rFont val="Tahoma"/>
            <family val="2"/>
          </rPr>
          <t xml:space="preserve">
The values for small office are used for this added category.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Charles Eley</author>
  </authors>
  <commentList>
    <comment ref="I42" authorId="0" shapeId="0" xr:uid="{00000000-0006-0000-0D00-000001000000}">
      <text>
        <r>
          <rPr>
            <b/>
            <sz val="9"/>
            <color indexed="81"/>
            <rFont val="Tahoma"/>
            <family val="2"/>
          </rPr>
          <t>Charles Eley:</t>
        </r>
        <r>
          <rPr>
            <sz val="9"/>
            <color indexed="81"/>
            <rFont val="Tahoma"/>
            <family val="2"/>
          </rPr>
          <t xml:space="preserve">
Note that this value was previously "-7" which was clearly wrong. This value is taken from ECB-CS for dormitories.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Charles Eley</author>
  </authors>
  <commentList>
    <comment ref="T2" authorId="0" shapeId="0" xr:uid="{00000000-0006-0000-1000-000001000000}">
      <text>
        <r>
          <rPr>
            <sz val="9"/>
            <color indexed="81"/>
            <rFont val="Tahoma"/>
            <family val="2"/>
          </rPr>
          <t>Source: CEUS</t>
        </r>
      </text>
    </comment>
    <comment ref="U2" authorId="0" shapeId="0" xr:uid="{00000000-0006-0000-1000-000002000000}">
      <text>
        <r>
          <rPr>
            <sz val="9"/>
            <color indexed="81"/>
            <rFont val="Tahoma"/>
            <family val="2"/>
          </rPr>
          <t>Source: CEUS</t>
        </r>
      </text>
    </comment>
    <comment ref="C3" authorId="0" shapeId="0" xr:uid="{00000000-0006-0000-1000-000003000000}">
      <text>
        <r>
          <rPr>
            <sz val="9"/>
            <color indexed="81"/>
            <rFont val="Tahoma"/>
            <family val="2"/>
          </rPr>
          <t>Source: 90.1-2001</t>
        </r>
      </text>
    </comment>
    <comment ref="D3" authorId="0" shapeId="0" xr:uid="{00000000-0006-0000-1000-000004000000}">
      <text>
        <r>
          <rPr>
            <sz val="9"/>
            <color indexed="81"/>
            <rFont val="Tahoma"/>
            <family val="2"/>
          </rPr>
          <t>Source: 90.1-2007</t>
        </r>
      </text>
    </comment>
    <comment ref="E3" authorId="0" shapeId="0" xr:uid="{00000000-0006-0000-1000-000005000000}">
      <text>
        <r>
          <rPr>
            <sz val="9"/>
            <color indexed="81"/>
            <rFont val="Tahoma"/>
            <family val="2"/>
          </rPr>
          <t>Source: 90.1-2010</t>
        </r>
      </text>
    </comment>
    <comment ref="F3" authorId="0" shapeId="0" xr:uid="{00000000-0006-0000-1000-000006000000}">
      <text>
        <r>
          <rPr>
            <sz val="9"/>
            <color indexed="81"/>
            <rFont val="Tahoma"/>
            <family val="2"/>
          </rPr>
          <t>Source: 90.1-2010</t>
        </r>
      </text>
    </comment>
    <comment ref="G3" authorId="0" shapeId="0" xr:uid="{00000000-0006-0000-1000-000007000000}">
      <text>
        <r>
          <rPr>
            <sz val="9"/>
            <color indexed="81"/>
            <rFont val="Tahoma"/>
            <family val="2"/>
          </rPr>
          <t>Source: ACM05</t>
        </r>
      </text>
    </comment>
    <comment ref="H3" authorId="0" shapeId="0" xr:uid="{00000000-0006-0000-1000-000008000000}">
      <text>
        <r>
          <rPr>
            <sz val="9"/>
            <color indexed="81"/>
            <rFont val="Tahoma"/>
            <family val="2"/>
          </rPr>
          <t>Source: NREL956</t>
        </r>
      </text>
    </comment>
    <comment ref="I3" authorId="0" shapeId="0" xr:uid="{00000000-0006-0000-1000-000009000000}">
      <text>
        <r>
          <rPr>
            <sz val="9"/>
            <color indexed="81"/>
            <rFont val="Tahoma"/>
            <family val="2"/>
          </rPr>
          <t>Source: NREL956</t>
        </r>
      </text>
    </comment>
    <comment ref="J3" authorId="0" shapeId="0" xr:uid="{00000000-0006-0000-1000-00000A000000}">
      <text>
        <r>
          <rPr>
            <sz val="9"/>
            <color indexed="81"/>
            <rFont val="Tahoma"/>
            <family val="2"/>
          </rPr>
          <t>Source: NREL956</t>
        </r>
      </text>
    </comment>
    <comment ref="K3" authorId="0" shapeId="0" xr:uid="{00000000-0006-0000-1000-00000B000000}">
      <text>
        <r>
          <rPr>
            <sz val="9"/>
            <color indexed="81"/>
            <rFont val="Tahoma"/>
            <family val="2"/>
          </rPr>
          <t>Source: NREL956</t>
        </r>
      </text>
    </comment>
    <comment ref="L3" authorId="0" shapeId="0" xr:uid="{00000000-0006-0000-1000-00000C000000}">
      <text>
        <r>
          <rPr>
            <sz val="9"/>
            <color indexed="81"/>
            <rFont val="Tahoma"/>
            <family val="2"/>
          </rPr>
          <t>Source: ACM05</t>
        </r>
      </text>
    </comment>
    <comment ref="M3" authorId="0" shapeId="0" xr:uid="{00000000-0006-0000-1000-00000D000000}">
      <text>
        <r>
          <rPr>
            <sz val="9"/>
            <color indexed="81"/>
            <rFont val="Tahoma"/>
            <family val="2"/>
          </rPr>
          <t>Source: ECB-CS</t>
        </r>
      </text>
    </comment>
    <comment ref="N3" authorId="0" shapeId="0" xr:uid="{00000000-0006-0000-1000-00000E000000}">
      <text>
        <r>
          <rPr>
            <sz val="9"/>
            <color indexed="81"/>
            <rFont val="Tahoma"/>
            <family val="2"/>
          </rPr>
          <t>Source: 90.1-2001</t>
        </r>
      </text>
    </comment>
    <comment ref="O3" authorId="0" shapeId="0" xr:uid="{00000000-0006-0000-1000-00000F000000}">
      <text>
        <r>
          <rPr>
            <sz val="9"/>
            <color indexed="81"/>
            <rFont val="Tahoma"/>
            <family val="2"/>
          </rPr>
          <t>Source: 90.1-2001</t>
        </r>
      </text>
    </comment>
    <comment ref="P3" authorId="0" shapeId="0" xr:uid="{00000000-0006-0000-1000-000010000000}">
      <text>
        <r>
          <rPr>
            <sz val="9"/>
            <color indexed="81"/>
            <rFont val="Tahoma"/>
            <family val="2"/>
          </rPr>
          <t>Source: ACM05</t>
        </r>
      </text>
    </comment>
    <comment ref="Q3" authorId="0" shapeId="0" xr:uid="{00000000-0006-0000-1000-000011000000}">
      <text>
        <r>
          <rPr>
            <sz val="9"/>
            <color indexed="81"/>
            <rFont val="Tahoma"/>
            <family val="2"/>
          </rPr>
          <t>Source: ACM05</t>
        </r>
      </text>
    </comment>
    <comment ref="R3" authorId="0" shapeId="0" xr:uid="{00000000-0006-0000-1000-000012000000}">
      <text>
        <r>
          <rPr>
            <sz val="9"/>
            <color indexed="81"/>
            <rFont val="Tahoma"/>
            <family val="2"/>
          </rPr>
          <t>Source: ACM05</t>
        </r>
      </text>
    </comment>
    <comment ref="S3" authorId="0" shapeId="0" xr:uid="{00000000-0006-0000-1000-000013000000}">
      <text>
        <r>
          <rPr>
            <sz val="9"/>
            <color indexed="81"/>
            <rFont val="Tahoma"/>
            <family val="2"/>
          </rPr>
          <t>Source: ECB-CS</t>
        </r>
      </text>
    </comment>
  </commentList>
</comments>
</file>

<file path=xl/sharedStrings.xml><?xml version="1.0" encoding="utf-8"?>
<sst xmlns="http://schemas.openxmlformats.org/spreadsheetml/2006/main" count="6619" uniqueCount="1646">
  <si>
    <t>1 - Lighting</t>
  </si>
  <si>
    <t>2 - Plug Loads</t>
  </si>
  <si>
    <t>3 - Occupancy</t>
  </si>
  <si>
    <t>4 - Outdoor Air</t>
  </si>
  <si>
    <t>5 - Water Heating</t>
  </si>
  <si>
    <t>6 - Process</t>
  </si>
  <si>
    <t>7 - Schedules</t>
  </si>
  <si>
    <t>Allowed Lighting Power Density (W/ft²)</t>
  </si>
  <si>
    <t>Default Receptacle Power Density (W/ft²)</t>
  </si>
  <si>
    <t>Receptacle Power Coefficients</t>
  </si>
  <si>
    <t>Occupant Density (ft³/person)</t>
  </si>
  <si>
    <t>Heat Gain per Occupant (Btu/occ)</t>
  </si>
  <si>
    <t>Minimum Ventilation (cfm/ft²)</t>
  </si>
  <si>
    <t>Load (Btu/h-occ)</t>
  </si>
  <si>
    <t>Load (G/day-occ)</t>
  </si>
  <si>
    <t>Interior Gas Appliance Power Density      (Btu/h-ft²)</t>
  </si>
  <si>
    <t xml:space="preserve">Refrigeration Power Density (W/ft²) </t>
  </si>
  <si>
    <t xml:space="preserve">ASHRAE Standard 90.1-2001 </t>
  </si>
  <si>
    <t>ASHRAE Standard 90.1-2007</t>
  </si>
  <si>
    <t>ASHRAE Standard 90.1-2010</t>
  </si>
  <si>
    <t>Room Cavity Ratio Threshold</t>
  </si>
  <si>
    <t>California 2005 ACM</t>
  </si>
  <si>
    <t>COMNET</t>
  </si>
  <si>
    <t>Csd</t>
  </si>
  <si>
    <t>PDmisc</t>
  </si>
  <si>
    <t>D</t>
  </si>
  <si>
    <t xml:space="preserve">California 2005 ACM </t>
  </si>
  <si>
    <t xml:space="preserve">COMNET </t>
  </si>
  <si>
    <t>Sensible</t>
  </si>
  <si>
    <t>Latent</t>
  </si>
  <si>
    <t>California 2005 Schedule</t>
  </si>
  <si>
    <t>COMNET Schedule</t>
  </si>
  <si>
    <t>Whole Building Categories</t>
  </si>
  <si>
    <t>Auto Repair</t>
  </si>
  <si>
    <t>n.a.</t>
  </si>
  <si>
    <t>Non-Residential</t>
  </si>
  <si>
    <t>Table G-H Light Manufacturing Occupancy</t>
  </si>
  <si>
    <t>Convention Center</t>
  </si>
  <si>
    <t>Table G-E Assembly Occupancy</t>
  </si>
  <si>
    <t>Court House</t>
  </si>
  <si>
    <t>Dining, Bar/Cocktail Lounge</t>
  </si>
  <si>
    <t>Table G-K Restaurant Occupancy</t>
  </si>
  <si>
    <t>Dining, Cafeteria/Fast Food</t>
  </si>
  <si>
    <t>Dining, Family</t>
  </si>
  <si>
    <t>Dormitory</t>
  </si>
  <si>
    <t>N/A</t>
  </si>
  <si>
    <t>Note 1</t>
  </si>
  <si>
    <t>Residential</t>
  </si>
  <si>
    <t>Table G-G Hotel/Motel Occupancy</t>
  </si>
  <si>
    <t>Exercise Center</t>
  </si>
  <si>
    <t>Fire Station</t>
  </si>
  <si>
    <t xml:space="preserve">Non-Residential </t>
  </si>
  <si>
    <t>Table G-I Office Occupancy</t>
  </si>
  <si>
    <t>Gymnasium</t>
  </si>
  <si>
    <t>Health Care Clinic</t>
  </si>
  <si>
    <t>Table G-F Health Occupancy</t>
  </si>
  <si>
    <t>Hospital</t>
  </si>
  <si>
    <t xml:space="preserve">Hotel </t>
  </si>
  <si>
    <t>Hotel Function</t>
  </si>
  <si>
    <t>Library</t>
  </si>
  <si>
    <t>Manufacturing Facility</t>
  </si>
  <si>
    <t>Motel</t>
  </si>
  <si>
    <t>Motion Picture Theatre</t>
  </si>
  <si>
    <t>Multi-Family</t>
  </si>
  <si>
    <t>Note 2</t>
  </si>
  <si>
    <t>Museum- General</t>
  </si>
  <si>
    <t>Office</t>
  </si>
  <si>
    <t>Parking Garage</t>
  </si>
  <si>
    <t>Retail</t>
  </si>
  <si>
    <t>Table G-J Parking Garage Occupancy</t>
  </si>
  <si>
    <t>Penitentiary</t>
  </si>
  <si>
    <t>Performing Arts Theatre</t>
  </si>
  <si>
    <t>Police Station</t>
  </si>
  <si>
    <t>Post Office</t>
  </si>
  <si>
    <t>Religious Building</t>
  </si>
  <si>
    <t xml:space="preserve">Retail </t>
  </si>
  <si>
    <t>Table G-L  Retail Occupancy</t>
  </si>
  <si>
    <t>School/University</t>
  </si>
  <si>
    <t>Table G-M School Occupancy</t>
  </si>
  <si>
    <t>Sports Arena</t>
  </si>
  <si>
    <t>Town Hall</t>
  </si>
  <si>
    <t>Transportation</t>
  </si>
  <si>
    <t>Warehouse</t>
  </si>
  <si>
    <t>Table G-N Warehouse Occupancy</t>
  </si>
  <si>
    <t>Workshop</t>
  </si>
  <si>
    <t>Space-by-Space Classifications</t>
  </si>
  <si>
    <t xml:space="preserve">Atrium,(First 40 ft in height) </t>
  </si>
  <si>
    <t>0.03 (watts per ft height)</t>
  </si>
  <si>
    <t xml:space="preserve">Atrium,(Height above 40 ft ) </t>
  </si>
  <si>
    <t>0.02 (watts per ft height)</t>
  </si>
  <si>
    <t xml:space="preserve">Audience/Seating Area, Permanent for Auditorium  </t>
  </si>
  <si>
    <t xml:space="preserve">Audience/Seating Area, Permanent for Motion Picture Theater  </t>
  </si>
  <si>
    <t xml:space="preserve">Audience/Seating Area, Permanent for Performing Arts Theater  </t>
  </si>
  <si>
    <t xml:space="preserve">Automotive,Service/Repair  </t>
  </si>
  <si>
    <t xml:space="preserve">Bank/Office,Banking Activity Area  </t>
  </si>
  <si>
    <t xml:space="preserve">Classroom/Lecture/Training  </t>
  </si>
  <si>
    <t>Note 3</t>
  </si>
  <si>
    <t xml:space="preserve">Conference/Meeting/Multipurpose  </t>
  </si>
  <si>
    <t xml:space="preserve">Convention Center, Audience Seating  </t>
  </si>
  <si>
    <t xml:space="preserve">Convention Center, Exhibit Space  </t>
  </si>
  <si>
    <t xml:space="preserve">Corridor/Transition  </t>
  </si>
  <si>
    <t xml:space="preserve"> Width&lt;8 ft  </t>
  </si>
  <si>
    <t xml:space="preserve">Courthouse/Police Station/Penitentiary, Confinement Cells  </t>
  </si>
  <si>
    <t xml:space="preserve">Courthouse/Police Station/Penitentiary, Courtroom  </t>
  </si>
  <si>
    <t xml:space="preserve">Courthouse/Police Station/Penitentiary, Judges’ Chambers  </t>
  </si>
  <si>
    <t>Dining Area, General</t>
  </si>
  <si>
    <t xml:space="preserve">Dining Area, Bar Lounge/Leisure Dining  </t>
  </si>
  <si>
    <t xml:space="preserve">Dining Area, Family Dining  </t>
  </si>
  <si>
    <t xml:space="preserve">Dormitory, Living Quarters  </t>
  </si>
  <si>
    <t xml:space="preserve">Dressing/Fitting Room , Performing Arts Theater  </t>
  </si>
  <si>
    <t xml:space="preserve">Electrical/Mechanical  </t>
  </si>
  <si>
    <t>Equipment Room</t>
  </si>
  <si>
    <t xml:space="preserve">Fire Stations, Engine Room  </t>
  </si>
  <si>
    <t xml:space="preserve">Fire Stations, Sleeping Quarters  </t>
  </si>
  <si>
    <t xml:space="preserve">Food Preparation  </t>
  </si>
  <si>
    <t xml:space="preserve">Gymnasium/Fitness Center, Fitness Area  </t>
  </si>
  <si>
    <t xml:space="preserve">Gymnasium/Fitness Center, Gymnasium Audience Seating  </t>
  </si>
  <si>
    <t xml:space="preserve">Gymnasium/Fitness Center, Playing Area  </t>
  </si>
  <si>
    <t>Home Nursing/Senior Housing</t>
  </si>
  <si>
    <t xml:space="preserve">Hospital, Corridor/Transition  </t>
  </si>
  <si>
    <t xml:space="preserve"> Width &lt; 8 ft  </t>
  </si>
  <si>
    <t xml:space="preserve">Hospital, Emergency  </t>
  </si>
  <si>
    <t xml:space="preserve">Hospital, Exam/Treatment  </t>
  </si>
  <si>
    <t xml:space="preserve">Hospital, Laundry/Washing  </t>
  </si>
  <si>
    <t xml:space="preserve">Hospital, Lounge/Recreation  </t>
  </si>
  <si>
    <t xml:space="preserve">Hospital, Medical Supply  </t>
  </si>
  <si>
    <t xml:space="preserve">Hospital, Nursery  </t>
  </si>
  <si>
    <t xml:space="preserve">Hospital, Nurses’ Station  </t>
  </si>
  <si>
    <t xml:space="preserve">Hospital, Operating Room  </t>
  </si>
  <si>
    <t xml:space="preserve">Hospital, Patient Room  </t>
  </si>
  <si>
    <t xml:space="preserve">Hospital, Pharmacy  </t>
  </si>
  <si>
    <t xml:space="preserve">Hospital, Physical Therapy  </t>
  </si>
  <si>
    <t xml:space="preserve">Hospital, Radiology/Imaging  </t>
  </si>
  <si>
    <t xml:space="preserve">Hospital, Recovery  </t>
  </si>
  <si>
    <t xml:space="preserve">Hotel Dining  </t>
  </si>
  <si>
    <t xml:space="preserve">Hotel Guest Rooms  </t>
  </si>
  <si>
    <t xml:space="preserve">Hotel Lobby  </t>
  </si>
  <si>
    <t xml:space="preserve">Highway Lodging Dining  </t>
  </si>
  <si>
    <t xml:space="preserve">Highway Lodging Guest Rooms  </t>
  </si>
  <si>
    <t xml:space="preserve">Laboratory, Classrooms  </t>
  </si>
  <si>
    <t xml:space="preserve">Laboratory, Medical/Industrial/Research  </t>
  </si>
  <si>
    <t>Laundry Facility</t>
  </si>
  <si>
    <t xml:space="preserve">Library, Card File and Cataloging  </t>
  </si>
  <si>
    <t xml:space="preserve">Library, Reading Area  </t>
  </si>
  <si>
    <t xml:space="preserve">Library, Stacks  </t>
  </si>
  <si>
    <t>Lobby, General</t>
  </si>
  <si>
    <t xml:space="preserve">Lobby, Elevator  </t>
  </si>
  <si>
    <t xml:space="preserve">Lobby, Motion Picture Theater  </t>
  </si>
  <si>
    <t xml:space="preserve">Lobby, Performing Arts Theater  </t>
  </si>
  <si>
    <t xml:space="preserve">Locker Room  </t>
  </si>
  <si>
    <t xml:space="preserve">Lounge/Recreation  </t>
  </si>
  <si>
    <t>Mechanical Control Room</t>
  </si>
  <si>
    <t xml:space="preserve">Manufacturing, Corridor/Transition  </t>
  </si>
  <si>
    <t xml:space="preserve">Manufacturing, Detailed Manufacturing  </t>
  </si>
  <si>
    <t xml:space="preserve">Manufacturing, Equipment Room  </t>
  </si>
  <si>
    <t xml:space="preserve">Manufacturing, Extra High Bay (&gt;50 ft Floor to Ceiling Height)  </t>
  </si>
  <si>
    <t xml:space="preserve">Manufacturing, High Bay  (25–50 ft Floor to Ceiling  Height)  </t>
  </si>
  <si>
    <t xml:space="preserve">Manufacturing, Low Bay (&lt;25 ft Floor to Ceiling Height)  </t>
  </si>
  <si>
    <t xml:space="preserve">Museum, General Exhibition  </t>
  </si>
  <si>
    <t xml:space="preserve">Museum, Restoration  </t>
  </si>
  <si>
    <t>Storage, Active, Musuem</t>
  </si>
  <si>
    <t>Storage, Inactive, Musuem</t>
  </si>
  <si>
    <t xml:space="preserve">Office, Enclosed  </t>
  </si>
  <si>
    <t xml:space="preserve">Office, Open Plan  </t>
  </si>
  <si>
    <t xml:space="preserve">Parking Garage, Garage Area  </t>
  </si>
  <si>
    <t xml:space="preserve">Penitentiary Audience Seating  </t>
  </si>
  <si>
    <t xml:space="preserve">Penitentiary Classroom  </t>
  </si>
  <si>
    <t xml:space="preserve">Penitentiary Dining  </t>
  </si>
  <si>
    <t xml:space="preserve">Post Office, Sorting Area  </t>
  </si>
  <si>
    <t xml:space="preserve">Religious Buildings, Audience Seating  </t>
  </si>
  <si>
    <t xml:space="preserve">Religious Buildings, Fellowship Hall  </t>
  </si>
  <si>
    <t xml:space="preserve">Religious Buildings, Worship Pulpit, Choir  </t>
  </si>
  <si>
    <t xml:space="preserve">Restrooms  </t>
  </si>
  <si>
    <t xml:space="preserve">Retail Dressing/Fitting Room  </t>
  </si>
  <si>
    <t>Table G-L Retail Occupancy</t>
  </si>
  <si>
    <t xml:space="preserve">Retail Mall Concourse  </t>
  </si>
  <si>
    <t>Retail Sales Area</t>
  </si>
  <si>
    <t>2.1*</t>
  </si>
  <si>
    <t xml:space="preserve">Sports Arena, Audience Seating  </t>
  </si>
  <si>
    <t xml:space="preserve">Sports Arena, Court Sports Arena—Class 1  </t>
  </si>
  <si>
    <t xml:space="preserve">Sports Arena, Court Sports Arena—Class 2  </t>
  </si>
  <si>
    <t xml:space="preserve">Sports Arena, Court Sports Arena—Class 3  </t>
  </si>
  <si>
    <t xml:space="preserve">Sports Arena, Court Sports Arena—Class 4  </t>
  </si>
  <si>
    <t>Sports Arena, Indoor Sports Fields</t>
  </si>
  <si>
    <t xml:space="preserve">Sports Arena, Ring Sports Arena  </t>
  </si>
  <si>
    <t xml:space="preserve">Stairway  </t>
  </si>
  <si>
    <t>Storage, Inactive, General</t>
  </si>
  <si>
    <t xml:space="preserve">Storage  </t>
  </si>
  <si>
    <t xml:space="preserve">Transportation, Air/Train/Bus—Baggage Area  </t>
  </si>
  <si>
    <t xml:space="preserve">Transportation, Airport—Concourse  </t>
  </si>
  <si>
    <t xml:space="preserve">Transportation, Audience Seating  </t>
  </si>
  <si>
    <t xml:space="preserve">Transportation, Terminal—Ticket Counter  </t>
  </si>
  <si>
    <t xml:space="preserve">Warehouse, Fine Material Storage  </t>
  </si>
  <si>
    <t xml:space="preserve">Warehouse, Medium/Bulky Material Storage  </t>
  </si>
  <si>
    <t>Warehouse, Refrigerated</t>
  </si>
  <si>
    <t>Workshop, General</t>
  </si>
  <si>
    <t>Lighting Power</t>
  </si>
  <si>
    <t>Automatic Lighting Controls</t>
  </si>
  <si>
    <t>Plug Loads</t>
  </si>
  <si>
    <t>Occupancy</t>
  </si>
  <si>
    <t>Ventilation Rate</t>
  </si>
  <si>
    <t>Water Heating</t>
  </si>
  <si>
    <t>Process</t>
  </si>
  <si>
    <t>8 - Schedules</t>
  </si>
  <si>
    <t>Schedules</t>
  </si>
  <si>
    <t>Occupant Heat Gain (Original)</t>
  </si>
  <si>
    <t>Occupant Heat Gain</t>
  </si>
  <si>
    <t>California ACM 2005</t>
  </si>
  <si>
    <t>ASHRAE Standard 90.1-2016 PRM</t>
  </si>
  <si>
    <t>Occupant Sensor Power Adjustment Factors</t>
  </si>
  <si>
    <t>Default  Power Density (W/ft²)</t>
  </si>
  <si>
    <t>Power Density from SSPC 90.1 (W/ft²)</t>
  </si>
  <si>
    <t>Default Occupant Density (ft²/person)</t>
  </si>
  <si>
    <t>Sensible Heat Gain (Btu/h-person)</t>
  </si>
  <si>
    <t>Latent Heat Gain  (Btu/h-person)</t>
  </si>
  <si>
    <t>Ventilation Rate (Revised) (cfm/ft²)</t>
  </si>
  <si>
    <t>Ventilation Rate (Original) (cfm/ft²)</t>
  </si>
  <si>
    <t>Schedule from Appendix C</t>
  </si>
  <si>
    <t>SSPC 90.1 Schedule Reference</t>
  </si>
  <si>
    <t>Description</t>
  </si>
  <si>
    <t>BA Automotive Facility</t>
  </si>
  <si>
    <t>C-4 Manufacturing</t>
  </si>
  <si>
    <t>BA Convention Center</t>
  </si>
  <si>
    <t>C-1 Assembly</t>
  </si>
  <si>
    <t>BA Courthouse</t>
  </si>
  <si>
    <t>C-5 Office</t>
  </si>
  <si>
    <t>BA Dining: Bar Lounge/Leisure</t>
  </si>
  <si>
    <t>C-7 Restaurant</t>
  </si>
  <si>
    <t>BA Dining: Cafeteria/Fast Food</t>
  </si>
  <si>
    <t>BA Dining: Family</t>
  </si>
  <si>
    <t>BA Dormitory</t>
  </si>
  <si>
    <t>C-12 Residential</t>
  </si>
  <si>
    <t>BA Exercise Center</t>
  </si>
  <si>
    <t>BA Fire Station</t>
  </si>
  <si>
    <t>C-2 Public</t>
  </si>
  <si>
    <t>BA Gymnasium</t>
  </si>
  <si>
    <t>C-14 Gymnasium</t>
  </si>
  <si>
    <t>BA Healthcare Clinic</t>
  </si>
  <si>
    <t>BA Hospital</t>
  </si>
  <si>
    <t>BA Hotel</t>
  </si>
  <si>
    <t>C-3 Hotel Motel</t>
  </si>
  <si>
    <t>BA Library</t>
  </si>
  <si>
    <t>C-8 Retail</t>
  </si>
  <si>
    <t>BA Manufacturing Facility</t>
  </si>
  <si>
    <t>BA Motel</t>
  </si>
  <si>
    <t>BA Motion Picture Theater</t>
  </si>
  <si>
    <t>BA Multifamily</t>
  </si>
  <si>
    <t>BA Museum</t>
  </si>
  <si>
    <t>BA Office</t>
  </si>
  <si>
    <t>BA Parking Garage</t>
  </si>
  <si>
    <t>C-6 Parking Garage</t>
  </si>
  <si>
    <t>BA Penitentiary</t>
  </si>
  <si>
    <t>BA Performing Arts Theater</t>
  </si>
  <si>
    <t>BA Police Station</t>
  </si>
  <si>
    <t>BA Post Office</t>
  </si>
  <si>
    <t>BA Religious Building</t>
  </si>
  <si>
    <t>BA Retail</t>
  </si>
  <si>
    <t>BA School/University</t>
  </si>
  <si>
    <t>C-9 Schools</t>
  </si>
  <si>
    <t>BA Sports Arena</t>
  </si>
  <si>
    <t>BA Town Hall</t>
  </si>
  <si>
    <t>BA Transportation</t>
  </si>
  <si>
    <t>BA Warehouse</t>
  </si>
  <si>
    <t>C-10 Warehouse</t>
  </si>
  <si>
    <t>BA Workshop</t>
  </si>
  <si>
    <t>CS Audience Seating Area, Auditorium</t>
  </si>
  <si>
    <t>Use parent schedule</t>
  </si>
  <si>
    <t>CS Audience Seating Area, Convention Center</t>
  </si>
  <si>
    <t>CS Audience Seating Area, Exercise Center</t>
  </si>
  <si>
    <t>CS Audience Seating Area, Gymnasium</t>
  </si>
  <si>
    <t>CS Audience Seating Area, Motion Picture Theater</t>
  </si>
  <si>
    <t>CS Audience Seating Area, Penitentiary</t>
  </si>
  <si>
    <t>CS Audience Seating Area, Performing Arts Theater</t>
  </si>
  <si>
    <t>CS Audience Seating Area, Religious Building</t>
  </si>
  <si>
    <t>CS Audience Seating Area, Sports Arena</t>
  </si>
  <si>
    <t>CS Audience Seating Area, Transportation Facility</t>
  </si>
  <si>
    <t>CS Audience Seating Area, Other</t>
  </si>
  <si>
    <t>CS Atrium, Less than or equal to 40 ft</t>
  </si>
  <si>
    <t>CS Atrium, More than 40 ft</t>
  </si>
  <si>
    <t xml:space="preserve">CS Banking Activity Area, </t>
  </si>
  <si>
    <t>CS Classroom/Lecture/Training, Penitentiary</t>
  </si>
  <si>
    <t>CS Classroom/Lecture/Training, K-12, laboratory and shops</t>
  </si>
  <si>
    <t>CS Classroom/Lecture/Training, Other</t>
  </si>
  <si>
    <t xml:space="preserve">CS Conference/Meeting/Multipurpose, </t>
  </si>
  <si>
    <t xml:space="preserve">CS Confinment Cells, </t>
  </si>
  <si>
    <t xml:space="preserve">CS Copy/Print Room, </t>
  </si>
  <si>
    <t>CS Corridor, Assisted Living</t>
  </si>
  <si>
    <t>CS Corridor, Hospital</t>
  </si>
  <si>
    <t>CS Corridor, Manufacturing</t>
  </si>
  <si>
    <t>CS Corridor, Other</t>
  </si>
  <si>
    <t xml:space="preserve">CS Courtroom, </t>
  </si>
  <si>
    <t xml:space="preserve">CS Computer Room, </t>
  </si>
  <si>
    <t>C-13 Data Center</t>
  </si>
  <si>
    <t>CS Dining Area, Penitentiary</t>
  </si>
  <si>
    <t>CS Dining Area, Assisted Living</t>
  </si>
  <si>
    <t xml:space="preserve">CS Dining Area, Bar Lounge/Leisure   </t>
  </si>
  <si>
    <t xml:space="preserve">CS Dining Area, Cafeteria or Fast Food </t>
  </si>
  <si>
    <t xml:space="preserve">CS Dining Area, Family Dining  </t>
  </si>
  <si>
    <t>CS Dining Area, Other</t>
  </si>
  <si>
    <t xml:space="preserve">CS Electrical/Mechanical  , </t>
  </si>
  <si>
    <t xml:space="preserve">CS Emergency Vehicle Garage, </t>
  </si>
  <si>
    <t xml:space="preserve">CS Food Preparation  , </t>
  </si>
  <si>
    <t xml:space="preserve">CS Guest Room, </t>
  </si>
  <si>
    <t xml:space="preserve">CS Judges Chambers, </t>
  </si>
  <si>
    <t xml:space="preserve">CS Laboratory, Classrooms  </t>
  </si>
  <si>
    <t>CS Laboratory, Other</t>
  </si>
  <si>
    <t>C-11 Laboratory</t>
  </si>
  <si>
    <t xml:space="preserve">CS Laundry/Washing Area, </t>
  </si>
  <si>
    <t xml:space="preserve">CS Loading Dock, Interior, </t>
  </si>
  <si>
    <t>CS Lobby, Assisted Living</t>
  </si>
  <si>
    <t xml:space="preserve">CS Lobby, Elevator  </t>
  </si>
  <si>
    <t>CS Lobby, Hotel</t>
  </si>
  <si>
    <t xml:space="preserve">CS Lobby, Motion Picture Theater  </t>
  </si>
  <si>
    <t xml:space="preserve">CS Lobby, Performing Arts Theater  </t>
  </si>
  <si>
    <t>CS Lobby, Other</t>
  </si>
  <si>
    <t xml:space="preserve">CS Locker Room  , </t>
  </si>
  <si>
    <t>CS Lounge/Break, Healthcare</t>
  </si>
  <si>
    <t>CS Lounge/Break, Other</t>
  </si>
  <si>
    <t>CS Office, Enclosed</t>
  </si>
  <si>
    <t>CS Office, Open Plan</t>
  </si>
  <si>
    <t xml:space="preserve">CS Parking Area, Interior, </t>
  </si>
  <si>
    <t xml:space="preserve">CS Pharmacy Area, </t>
  </si>
  <si>
    <t>CS Restrooms  , Assisted Living</t>
  </si>
  <si>
    <t>CS Restrooms  , Other</t>
  </si>
  <si>
    <t xml:space="preserve">CS Sales Area, </t>
  </si>
  <si>
    <t xml:space="preserve">CS Seating Area General, </t>
  </si>
  <si>
    <t xml:space="preserve">CS Stairway, </t>
  </si>
  <si>
    <t>CS Storage, Hospital</t>
  </si>
  <si>
    <t xml:space="preserve">CS Storage, &gt;= 50 ft² </t>
  </si>
  <si>
    <t xml:space="preserve">CS Storage, &lt; 50 ft² </t>
  </si>
  <si>
    <t xml:space="preserve">CS Vehicular Maintenance, </t>
  </si>
  <si>
    <t xml:space="preserve">CS Workshop, </t>
  </si>
  <si>
    <t>SS Assisted Living, Chapel</t>
  </si>
  <si>
    <t>SS Assisted Living, Recreation Room</t>
  </si>
  <si>
    <t xml:space="preserve">SS Convention Center, Exhibit Space  </t>
  </si>
  <si>
    <t xml:space="preserve">SS Dormitory, Living Quarters  </t>
  </si>
  <si>
    <t xml:space="preserve">SS Fire Station, Sleeping Quarters  </t>
  </si>
  <si>
    <t xml:space="preserve">SS Gymnasium/Fitness Center, Exercise Area  </t>
  </si>
  <si>
    <t xml:space="preserve">SS Gymnasium/Fitness Center, Playing Area  </t>
  </si>
  <si>
    <t>SS Healthcare, Emergency Room</t>
  </si>
  <si>
    <t xml:space="preserve">SS Healthcare, Exam/Treatment  </t>
  </si>
  <si>
    <t>SS Healthcare, Supply Room</t>
  </si>
  <si>
    <t xml:space="preserve">SS Healthcare, Nursery  </t>
  </si>
  <si>
    <t xml:space="preserve">SS Healthcare, Nurses’ Station  </t>
  </si>
  <si>
    <t xml:space="preserve">SS Healthcare, Operating Room  </t>
  </si>
  <si>
    <t xml:space="preserve">SS Healthcare, Patient Room  </t>
  </si>
  <si>
    <t xml:space="preserve">SS Healthcare, Physical Therapy  </t>
  </si>
  <si>
    <t>SS Healthcare, Recovery Room</t>
  </si>
  <si>
    <t xml:space="preserve">SS Library, Reading Area  </t>
  </si>
  <si>
    <t xml:space="preserve">SS Library, Stacks  </t>
  </si>
  <si>
    <t xml:space="preserve">SS Manufacturing Facility, Detailed Manufacturing  </t>
  </si>
  <si>
    <t xml:space="preserve">SS Manufacturing Facility, Equipment Room  </t>
  </si>
  <si>
    <t xml:space="preserve">SS Manufacturing Facility, Extra High Bay (&gt;50 ft Floor to Ceiling Height)  </t>
  </si>
  <si>
    <t xml:space="preserve">SS Manufacturing Facility, High Bay  (25–50 ft Floor to Ceiling  Height)  </t>
  </si>
  <si>
    <t xml:space="preserve">SS Manufacturing Facility, Low Bay (&lt;25 ft Floor to Ceiling Height)  </t>
  </si>
  <si>
    <t xml:space="preserve">SS Museum, General Exhibition  </t>
  </si>
  <si>
    <t xml:space="preserve">SS Museum, Restoration  </t>
  </si>
  <si>
    <t xml:space="preserve">SS Post Office, Sorting Area  </t>
  </si>
  <si>
    <t>SS Religious Building, Fellowship Hall</t>
  </si>
  <si>
    <t>SS Religious Building, Worship/Pulpit/Choir</t>
  </si>
  <si>
    <t xml:space="preserve">SS Retail, Dressing/Fitting Room  </t>
  </si>
  <si>
    <t xml:space="preserve">SS Retail, Mall Concourse  </t>
  </si>
  <si>
    <t xml:space="preserve">SS Sports Arena Playing Area, Class I </t>
  </si>
  <si>
    <t xml:space="preserve">SS Sports Arena Playing Area, Class II </t>
  </si>
  <si>
    <t xml:space="preserve">SS Sports Arena Playing Area, Class III </t>
  </si>
  <si>
    <t>SS Sports Arena Playing Area, Class IV</t>
  </si>
  <si>
    <t xml:space="preserve">SS Transportation, Baggage/Carousel Area  </t>
  </si>
  <si>
    <t>SS Transportation, Concourse</t>
  </si>
  <si>
    <t>SS Transportation, Ticket Counter</t>
  </si>
  <si>
    <t>SS Warehouse, Medium/Bulky Items on Pallets</t>
  </si>
  <si>
    <t>SS Warehouse, Smaller Hand Carried Items</t>
  </si>
  <si>
    <t>UWBD = Use whole buildling data</t>
  </si>
  <si>
    <t>UWBD = Use whole building data</t>
  </si>
  <si>
    <t>Rev 9 Release Notes</t>
  </si>
  <si>
    <t>This revision adds data from the SSPC 90.1 website that is intended for use with the building envelope tradeoff</t>
  </si>
  <si>
    <t>procedure (the successor to EnvStd). This data includes references to a set of schedules labeled A through K, and</t>
  </si>
  <si>
    <t xml:space="preserve">also includes data on plug loads, ventilation rates, occupant density and heat gain (sensible and latent). </t>
  </si>
  <si>
    <t>The first column labels are modified to be consistent with the lighting power Table G3.7 of 90.1-2016. Previously the</t>
  </si>
  <si>
    <t xml:space="preserve">data from 90.1-2010 was used. </t>
  </si>
  <si>
    <t xml:space="preserve">Control credits updated for the 90.1-2016 version. </t>
  </si>
  <si>
    <t xml:space="preserve">References to schedules was updated in response to changes to appendix C. </t>
  </si>
  <si>
    <t>The assumption is made that both a building type and a space type are selected. In some instances, the</t>
  </si>
  <si>
    <t xml:space="preserve">information for the building type becomes the value for the space type. </t>
  </si>
  <si>
    <t xml:space="preserve">Updated mappings. </t>
  </si>
  <si>
    <t>Added an option for "use parent data" to the lists for appropriate space-by-space data. In the schedules column</t>
  </si>
  <si>
    <t>"Use parent schedule" is the key. For other data "UWBD" (use whole building data) is the key.  For some</t>
  </si>
  <si>
    <t xml:space="preserve">space-by-space categories no default is offered, e.g. data centers. </t>
  </si>
  <si>
    <t>Use</t>
  </si>
  <si>
    <t>Parent</t>
  </si>
  <si>
    <t>Code</t>
  </si>
  <si>
    <t>Source of data</t>
  </si>
  <si>
    <t>Relevance</t>
  </si>
  <si>
    <t>No default</t>
  </si>
  <si>
    <t>Option</t>
  </si>
  <si>
    <t>Notes</t>
  </si>
  <si>
    <t>90.1-2016 BM</t>
  </si>
  <si>
    <t>ASHRAE Standard 90.1-2016 PRM (BM)</t>
  </si>
  <si>
    <t>BM baseline</t>
  </si>
  <si>
    <t>This is the pick list</t>
  </si>
  <si>
    <t>90.1-2001</t>
  </si>
  <si>
    <t>ASHRAE Standard 90.1-2001</t>
  </si>
  <si>
    <t>Baseline for IRS 179D</t>
  </si>
  <si>
    <t>Baseline for IRS 179d (expired)</t>
  </si>
  <si>
    <t>90.1-2007</t>
  </si>
  <si>
    <t>Baseline for LEED 2.2</t>
  </si>
  <si>
    <t>90.1-2010</t>
  </si>
  <si>
    <t>Baseline for LEED 2012</t>
  </si>
  <si>
    <t>SSPC 90.1</t>
  </si>
  <si>
    <t>Addendum "an" Schedules and Loads</t>
  </si>
  <si>
    <t>Plugs, ventilation, occupants and schedules</t>
  </si>
  <si>
    <t>P</t>
  </si>
  <si>
    <t xml:space="preserve">Used for </t>
  </si>
  <si>
    <t>CBECS-2003</t>
  </si>
  <si>
    <t>Methodology for Modeling . ., NREL 550-41956</t>
  </si>
  <si>
    <t>Data for plug loads and other assumptions</t>
  </si>
  <si>
    <t>CEUS</t>
  </si>
  <si>
    <t>California Energy Utilization Survey, Iron, 2006</t>
  </si>
  <si>
    <t>Data source for refrigeration and cooking power</t>
  </si>
  <si>
    <t>ECB-CS</t>
  </si>
  <si>
    <t>Unpublished ECB Compliance Supplement</t>
  </si>
  <si>
    <t>Data source</t>
  </si>
  <si>
    <t>ACM05</t>
  </si>
  <si>
    <t>California 2005 ACM Manual</t>
  </si>
  <si>
    <t>Referenced by IRS 179D</t>
  </si>
  <si>
    <t>No longer relevant</t>
  </si>
  <si>
    <t>Rev 8 Release Notes</t>
  </si>
  <si>
    <t>This revision adds the lighting power numbers from the 90.1-2013 PRM with the BM and DX addenda. It also hides</t>
  </si>
  <si>
    <t>the ACM 2005 modeling assumptions since the tax credit has expired and these data were only used for that</t>
  </si>
  <si>
    <t>purpose. Lighting power density values for 90.1-2013-BM are taken from a document prepared by Eley and</t>
  </si>
  <si>
    <t xml:space="preserve">Rosenberg titled "Appendix G 2013+BM and DX.docx". </t>
  </si>
  <si>
    <t xml:space="preserve">The lighting control credits in Table 9.6.2 of 90.1-2013-BM are added to the table. </t>
  </si>
  <si>
    <t>The equipment power density values have been modified based on changes to the underlying spreadsheet,</t>
  </si>
  <si>
    <t xml:space="preserve">"COMNET Plug Load Calcs (Rev3).xlsx'. See this spreadsheet for additional information. </t>
  </si>
  <si>
    <t>Control credits added for the 90.1-2016 BM purpose. These were based on a preliminary release of the standard</t>
  </si>
  <si>
    <t>Rev 7 Release Notes</t>
  </si>
  <si>
    <t>This revision makes the mapping between the pick lists (whole building and space-by-space) and the data sources</t>
  </si>
  <si>
    <t>more explicit. Gas and electric process energy is also treated differently; it is explicitely mapped to the original</t>
  </si>
  <si>
    <t>source of the data (CEUS). The spreadsheet is structured so that a change on the "Mapping" tab triggers the</t>
  </si>
  <si>
    <t>updates on the "Modeling Data" tab. The stipple pattern indicates that the value changed from the previous version</t>
  </si>
  <si>
    <t xml:space="preserve">(Rev 6). </t>
  </si>
  <si>
    <t>Additional Notes (previous releases)</t>
  </si>
  <si>
    <t>Information in this spreadsheet is taken from the following sources. The data from each of these sources are</t>
  </si>
  <si>
    <t xml:space="preserve">contained on a separate tab within this spreadsheet.  </t>
  </si>
  <si>
    <t>Title</t>
  </si>
  <si>
    <t>NREL956</t>
  </si>
  <si>
    <t>CEUS-2003</t>
  </si>
  <si>
    <t>The list for the table in the main tab "Modeling Data" is consistent with ASHRAE 90.1-2010. All the data is mapped</t>
  </si>
  <si>
    <t xml:space="preserve">to these buildings and space types in the tab titled "Mapping". </t>
  </si>
  <si>
    <t>The data in the "Modeling Data" tab is automatically looked up from the source tables based on information on the</t>
  </si>
  <si>
    <t>"Mapping" tab. Changes should be made here, not on the "Modeling Data" tab. The exception is for the schedules</t>
  </si>
  <si>
    <t xml:space="preserve">columns, which are not automatically looked up. </t>
  </si>
  <si>
    <t>The data in "Modeling Data (Rev 6)" is legacy information for comparison to the revised information contained in</t>
  </si>
  <si>
    <t xml:space="preserve">"Modeling Data". </t>
  </si>
  <si>
    <t>COMNET List - Names from 2016 PRM</t>
  </si>
  <si>
    <t>Mapping to 90.1-2016 PRM</t>
  </si>
  <si>
    <t>Mapping to 90.1-2010</t>
  </si>
  <si>
    <t>Mapping to 90.1-2007</t>
  </si>
  <si>
    <t>Mapping to 90.1-2001</t>
  </si>
  <si>
    <t>Mapping to SSPC-90.1</t>
  </si>
  <si>
    <t>Mapping to CBECS 2003</t>
  </si>
  <si>
    <t>Mapping to CEUS</t>
  </si>
  <si>
    <t>Mapping to ECB-CS</t>
  </si>
  <si>
    <t>Mapping to ACM05</t>
  </si>
  <si>
    <t>BA Automotive facility</t>
  </si>
  <si>
    <t>Automotive Facility</t>
  </si>
  <si>
    <t>Service (except Food) Vehicle service/repair shop</t>
  </si>
  <si>
    <t>Miscellaneous</t>
  </si>
  <si>
    <t>CS Auto repair</t>
  </si>
  <si>
    <t>SO Auto Repair</t>
  </si>
  <si>
    <t>BA Convention center</t>
  </si>
  <si>
    <t>Public assembly PBA</t>
  </si>
  <si>
    <t>Assembly</t>
  </si>
  <si>
    <t>BA Assembly</t>
  </si>
  <si>
    <t>BA Convention Centers</t>
  </si>
  <si>
    <t>BA Court House</t>
  </si>
  <si>
    <t>Courthouse</t>
  </si>
  <si>
    <t>Office Government office</t>
  </si>
  <si>
    <t>Large Office</t>
  </si>
  <si>
    <t>BA Health &amp; Institutional</t>
  </si>
  <si>
    <t>BA Dining: bar lounge/leisure</t>
  </si>
  <si>
    <t>Dining: Bar/Lounge/Leisure</t>
  </si>
  <si>
    <t>Food service Other food service</t>
  </si>
  <si>
    <t>Restaurant</t>
  </si>
  <si>
    <t>BA Food Service</t>
  </si>
  <si>
    <t>BA Restaurants</t>
  </si>
  <si>
    <t>BA Dining: cafeteria/fast food</t>
  </si>
  <si>
    <t>Dining: Cafeteria/Fast Food</t>
  </si>
  <si>
    <t>Food service Fast food</t>
  </si>
  <si>
    <t>BA Dining: family</t>
  </si>
  <si>
    <t>Dining: Family</t>
  </si>
  <si>
    <t>Food service Restaurant/cafeteria</t>
  </si>
  <si>
    <t>Lodging Dormitory/fraternity/sorority</t>
  </si>
  <si>
    <t>Lodging</t>
  </si>
  <si>
    <t>BA Lodging</t>
  </si>
  <si>
    <t>SO Hotel/Motel Guest Room</t>
  </si>
  <si>
    <t>BA Exercise center</t>
  </si>
  <si>
    <t>Public assembly Recreation</t>
  </si>
  <si>
    <t>SO All Others</t>
  </si>
  <si>
    <t>BA Police/fire station</t>
  </si>
  <si>
    <t>BA Police/Fire Station</t>
  </si>
  <si>
    <t>Public order and safety Fire station/police station</t>
  </si>
  <si>
    <t>BA Office (Business)</t>
  </si>
  <si>
    <t>SO Police Station and Fire Station</t>
  </si>
  <si>
    <t>SO Exercise, Center,  Gymnasium</t>
  </si>
  <si>
    <t>BA Health-care clinic</t>
  </si>
  <si>
    <t>BA Hospital/Health Care</t>
  </si>
  <si>
    <t>Health-Care Clinic</t>
  </si>
  <si>
    <t>Outpatient health care PBA</t>
  </si>
  <si>
    <t>Health</t>
  </si>
  <si>
    <t>BA Medical Buildings and Clinics</t>
  </si>
  <si>
    <t xml:space="preserve">BA Hospital </t>
  </si>
  <si>
    <t>Inpatient health care PBA</t>
  </si>
  <si>
    <t>BA Hotel/Motel</t>
  </si>
  <si>
    <t xml:space="preserve">BA Hotel </t>
  </si>
  <si>
    <t>Hotel</t>
  </si>
  <si>
    <t>Lodging Hotel</t>
  </si>
  <si>
    <t>Public assembly Library</t>
  </si>
  <si>
    <t>Small Office</t>
  </si>
  <si>
    <t>BA Educational</t>
  </si>
  <si>
    <t>BA Manufacturing facility</t>
  </si>
  <si>
    <t>Nonrefrigerated warehouse Distribution/shipping center</t>
  </si>
  <si>
    <t xml:space="preserve">BA Industrial </t>
  </si>
  <si>
    <t>BA General Commercial and Industrial Work Buildings, High Bay</t>
  </si>
  <si>
    <t>BA Motion picture theater</t>
  </si>
  <si>
    <t>Motion Picture Theater</t>
  </si>
  <si>
    <t>Public assembly Entertainment/culture</t>
  </si>
  <si>
    <t>SO Auditorium</t>
  </si>
  <si>
    <t>BA Multi-Family</t>
  </si>
  <si>
    <t>Multifamily</t>
  </si>
  <si>
    <t>Lodging Other lodging</t>
  </si>
  <si>
    <t>SS General Dormitory</t>
  </si>
  <si>
    <t>SO High-Rise Residential Living Spaces</t>
  </si>
  <si>
    <t>Museum</t>
  </si>
  <si>
    <t>SO Exhibit, Museum</t>
  </si>
  <si>
    <t>Office PBA</t>
  </si>
  <si>
    <t>All Offices</t>
  </si>
  <si>
    <t>BA Office Buildings</t>
  </si>
  <si>
    <t>BA Parking garage</t>
  </si>
  <si>
    <t>Unrefrigerated Warehouse</t>
  </si>
  <si>
    <t>SS Garage Parking garage</t>
  </si>
  <si>
    <t>Public order and safety Other public order and safety</t>
  </si>
  <si>
    <t>BA Performing arts theater</t>
  </si>
  <si>
    <t>Performing Arts Theater</t>
  </si>
  <si>
    <t>SO Theater, Performance</t>
  </si>
  <si>
    <t>BA Post office</t>
  </si>
  <si>
    <t>Service (except Food) Post office/postal center</t>
  </si>
  <si>
    <t>SO General Commercial and Industrial Work, Low Bay</t>
  </si>
  <si>
    <t>BA Religious building</t>
  </si>
  <si>
    <t>Religious worship PBA</t>
  </si>
  <si>
    <t>BA Religious Facilities</t>
  </si>
  <si>
    <t>Retail (except Malls) PBA</t>
  </si>
  <si>
    <t>SO Retail Merchandise Sales, Wholesale Showroom</t>
  </si>
  <si>
    <t>BA School/university</t>
  </si>
  <si>
    <t>Education PBA</t>
  </si>
  <si>
    <t>School</t>
  </si>
  <si>
    <t>BA Classroom Building</t>
  </si>
  <si>
    <t>BA Sports arena</t>
  </si>
  <si>
    <t>BA Auditoriums</t>
  </si>
  <si>
    <t>BA Town hall</t>
  </si>
  <si>
    <t>Service (except Food) Other service</t>
  </si>
  <si>
    <t>SS Transport Terminal- concourse</t>
  </si>
  <si>
    <t>SO Transportation Function</t>
  </si>
  <si>
    <t>Nonrefrigerated warehouse Non-refrigerated warehouse</t>
  </si>
  <si>
    <t>BA Warehouse (Storage)</t>
  </si>
  <si>
    <t>SO Commercial and Industrial Storage (conditioned or unconditioned)</t>
  </si>
  <si>
    <t>Service (except Food) Repair shop</t>
  </si>
  <si>
    <t>BA General Commercial and Industrial Work Buildings, Low Bay</t>
  </si>
  <si>
    <t xml:space="preserve">CS Audience Seating Permanent Auditorium  </t>
  </si>
  <si>
    <t>CS Audience/Seating Area General</t>
  </si>
  <si>
    <t>SS Theater Auditorium seating area</t>
  </si>
  <si>
    <t xml:space="preserve">SS Convention Center Audience Seating  </t>
  </si>
  <si>
    <t>CS Audience/Seating Area Convention Center</t>
  </si>
  <si>
    <t>SS Audience/Seating Area Convention Center</t>
  </si>
  <si>
    <t>CS Conf./mtg./multi-use</t>
  </si>
  <si>
    <t>SO Convention, Conference, Multi-purpose and Meeting Centers (Note 10)</t>
  </si>
  <si>
    <t xml:space="preserve">SS Gymnasium/Fitness Center Gymnasium Audience Seating  </t>
  </si>
  <si>
    <t>CS Audience/Seating Area Exercise Center</t>
  </si>
  <si>
    <t>SS Audience/Seating Area Exercise Center</t>
  </si>
  <si>
    <t>SS Sports Indoor athletics seating</t>
  </si>
  <si>
    <t>CS Audience/Seating Area Gymnasium</t>
  </si>
  <si>
    <t>SS Audience/Seating Area Gymnasium</t>
  </si>
  <si>
    <t xml:space="preserve">CS Audience Seating Permanent Motion Picture Theater  </t>
  </si>
  <si>
    <t>CS Audience/Seating Area Motion Picture Theater</t>
  </si>
  <si>
    <t>SS Audience/Seating Area Motion Picture Theater</t>
  </si>
  <si>
    <t>SS Theater Motion picture seating</t>
  </si>
  <si>
    <t>SO Theater, Motion Picture</t>
  </si>
  <si>
    <t>CS Audience/Seating Area Penitentiary</t>
  </si>
  <si>
    <t>SS Audience/Seating Area Penitentiary</t>
  </si>
  <si>
    <t xml:space="preserve">CS Audience Seating Permanent Performing Arts Theater  </t>
  </si>
  <si>
    <t>CS Audience/Seating Area Performing Arts Theater</t>
  </si>
  <si>
    <t>SS Audience/Seating Area Performing Arts Theater</t>
  </si>
  <si>
    <t>SS Theater Performing arts seating</t>
  </si>
  <si>
    <t xml:space="preserve">SS Religious Buildings Audience Seating  </t>
  </si>
  <si>
    <t>CS Audience/Seating Area Religious Buildings</t>
  </si>
  <si>
    <t>SS Audience/Seating Area Religious Buildings</t>
  </si>
  <si>
    <t>Public assembly Social/meeting</t>
  </si>
  <si>
    <t>SS Religious Worship- congregation</t>
  </si>
  <si>
    <t>SO Religious Worship</t>
  </si>
  <si>
    <t xml:space="preserve">SS Sports Arena Audience Seating  </t>
  </si>
  <si>
    <t>CS Audience/Seating Area Sports Arena</t>
  </si>
  <si>
    <t>SS Audience/Seating Area Sports Arena</t>
  </si>
  <si>
    <t xml:space="preserve">SS Transportation Audience Seating  </t>
  </si>
  <si>
    <t>CS Audience/Seating Area Transportation</t>
  </si>
  <si>
    <t>SS Audience/Seating Area Transportation</t>
  </si>
  <si>
    <t>SS Transport Terminal- waiting/lounge</t>
  </si>
  <si>
    <t>Use Whole Building Data</t>
  </si>
  <si>
    <t>CS Atrium First 40 ft in Height</t>
  </si>
  <si>
    <t xml:space="preserve">CS Atrium—First Three Floors </t>
  </si>
  <si>
    <t>CS Atria- 1st three floors</t>
  </si>
  <si>
    <t>SO Malls  and Atria</t>
  </si>
  <si>
    <t>CS Atrium Height Above 40 ft</t>
  </si>
  <si>
    <t xml:space="preserve">CS Atrium—Each Additional Floor </t>
  </si>
  <si>
    <t xml:space="preserve">SS Bank/Office Banking Activity Area  </t>
  </si>
  <si>
    <t>SS Bank/Office Banking Activity Area</t>
  </si>
  <si>
    <t>Office Bank/other financial</t>
  </si>
  <si>
    <t>CS Banking activity</t>
  </si>
  <si>
    <t>BA Financial Institutions</t>
  </si>
  <si>
    <t xml:space="preserve">CS Classroom/Lecture/Training   </t>
  </si>
  <si>
    <t>CS Classroom/Lecture/Training General</t>
  </si>
  <si>
    <t>Education Other classroom education</t>
  </si>
  <si>
    <t>CS Classroom/lecture/training</t>
  </si>
  <si>
    <t>SO Classrooms, Lecture, Training, Vocational Room</t>
  </si>
  <si>
    <t xml:space="preserve">CS Conference/Meeting/Multipurpose   </t>
  </si>
  <si>
    <t xml:space="preserve">CS Conference/Meeting/Multipurpose </t>
  </si>
  <si>
    <t>College</t>
  </si>
  <si>
    <t xml:space="preserve">SS Courthouse/Police Station/Penitentiary Confinement Cells  </t>
  </si>
  <si>
    <t>SS Courthouse/Police Station/Penitentiary Confinement Cells</t>
  </si>
  <si>
    <t>SS Civil Services Jail/peniten. living area</t>
  </si>
  <si>
    <t xml:space="preserve">CS Workshop, General </t>
  </si>
  <si>
    <t xml:space="preserve">CS Workshop </t>
  </si>
  <si>
    <t>Use whole building data</t>
  </si>
  <si>
    <t xml:space="preserve">CS Corridor/Transition   </t>
  </si>
  <si>
    <t>Nursing Nursing home/assisted living</t>
  </si>
  <si>
    <t>SS Health Corridors- Health</t>
  </si>
  <si>
    <t>SO Corridors, Restrooms, Stairs, and Support Areas</t>
  </si>
  <si>
    <t xml:space="preserve">SS Hospital Corridor/Transition  </t>
  </si>
  <si>
    <t>CS Corridor/Transition Hospital</t>
  </si>
  <si>
    <t>SS Corridor/Transition Hospital</t>
  </si>
  <si>
    <t>Inpatient health care Hospital/inpatient health</t>
  </si>
  <si>
    <t xml:space="preserve">SS Manufacturing Corridor/Transition  </t>
  </si>
  <si>
    <t>CS Corridor/Transition Manufacturing Facility</t>
  </si>
  <si>
    <t>SS Corridor/Transition Manufacturing Facility</t>
  </si>
  <si>
    <t>CS Corridor/transition</t>
  </si>
  <si>
    <t>CS Corridor/Transition General</t>
  </si>
  <si>
    <t xml:space="preserve">SS Courthouse/Police Station/Penitentiary Courtroom  </t>
  </si>
  <si>
    <t>SS Courthouse/Police Station/Penitentiary Courtroom</t>
  </si>
  <si>
    <t>SS Civil Services Courtroom</t>
  </si>
  <si>
    <t xml:space="preserve">SS Manufacturing Equipment Room  </t>
  </si>
  <si>
    <t>SS Manufacturing Equipment Room</t>
  </si>
  <si>
    <t>SS Food Cafeteria/fast food</t>
  </si>
  <si>
    <t>SO Dining</t>
  </si>
  <si>
    <t>SS Food Bar/lounge</t>
  </si>
  <si>
    <t xml:space="preserve">CS Dining Area Bar Lounge/Leisure Dining  </t>
  </si>
  <si>
    <t>CS Dining Area Bar Lounge/Leisure Dining</t>
  </si>
  <si>
    <t>SS Dining Area Bar Lounge/Leisure Dining</t>
  </si>
  <si>
    <t>SO Bar, Cocktail Lounge and Casino</t>
  </si>
  <si>
    <t xml:space="preserve">CS Dining Area Family Dining  </t>
  </si>
  <si>
    <t>CS Dining Area Family Dining</t>
  </si>
  <si>
    <t>SS Dining Area Family Dining</t>
  </si>
  <si>
    <t>SS Food Family dining</t>
  </si>
  <si>
    <t>CS Dining Area General</t>
  </si>
  <si>
    <t>CS Dining area- General</t>
  </si>
  <si>
    <t xml:space="preserve">CS Electrical/Mechanical   </t>
  </si>
  <si>
    <t xml:space="preserve">CS Electrical/Mechanical </t>
  </si>
  <si>
    <t>SO Electrical, Mechanical Room</t>
  </si>
  <si>
    <t>Vacant PBA</t>
  </si>
  <si>
    <t>CS Mechanical/electrical</t>
  </si>
  <si>
    <t xml:space="preserve">CS Food Preparation   </t>
  </si>
  <si>
    <t xml:space="preserve">CS Food Preparation </t>
  </si>
  <si>
    <t>Food Preparation</t>
  </si>
  <si>
    <t>CS Food preparation</t>
  </si>
  <si>
    <t>SO Kitchen, Food Preparation</t>
  </si>
  <si>
    <t xml:space="preserve">SS Hotel/Highway Lodging Hotel Guest Rooms  </t>
  </si>
  <si>
    <t>SS Hotel/Motel Guest Rooms</t>
  </si>
  <si>
    <t>SS General Guest rooms</t>
  </si>
  <si>
    <t xml:space="preserve">SS Courthouse/Police Station/Penitentiary Judges’ Chambers  </t>
  </si>
  <si>
    <t>SS Courthouse/Police Station/Penitentiary Judges’ Chambers</t>
  </si>
  <si>
    <t>CS Office - enclosed</t>
  </si>
  <si>
    <t>SO Office  (Greater than 250 square feet in floor area)</t>
  </si>
  <si>
    <t xml:space="preserve">CS Laboratory Classrooms  </t>
  </si>
  <si>
    <t>Laboratory PBA</t>
  </si>
  <si>
    <t xml:space="preserve">CS Laboratory Medical/Industrial/Research  </t>
  </si>
  <si>
    <t xml:space="preserve">CS Laboratory </t>
  </si>
  <si>
    <t xml:space="preserve">SS Laboratory </t>
  </si>
  <si>
    <t>CS Laboratory/research</t>
  </si>
  <si>
    <t>SO Laboratory, Scientific</t>
  </si>
  <si>
    <t xml:space="preserve">SS Hospital Laundry/Washing  </t>
  </si>
  <si>
    <t>SS Hospital Laundry—Washing</t>
  </si>
  <si>
    <t>CS Washing</t>
  </si>
  <si>
    <t>SO Laundry</t>
  </si>
  <si>
    <t xml:space="preserve">SS Warehouse Medium/Bulky Material Storage  </t>
  </si>
  <si>
    <t>SS Warehouse Medium/Bulky Material Storage</t>
  </si>
  <si>
    <t>SS Warehouse Medium/Bulky material</t>
  </si>
  <si>
    <t>CS Lobby General</t>
  </si>
  <si>
    <t>CS Lobby All Other</t>
  </si>
  <si>
    <t>SS Hotels Lobby-Hotel</t>
  </si>
  <si>
    <t>SO Lobby, Hotel</t>
  </si>
  <si>
    <t xml:space="preserve">CS Lobby Elevator  </t>
  </si>
  <si>
    <t>CS Lobby</t>
  </si>
  <si>
    <t>SO Lobby, Main Entry</t>
  </si>
  <si>
    <t xml:space="preserve">SS Hotel/Highway Lodging Hotel Lobby  </t>
  </si>
  <si>
    <t>CS Lobby Hotel</t>
  </si>
  <si>
    <t>SS Lobby Hotel</t>
  </si>
  <si>
    <t xml:space="preserve">CS Lobby Motion Picture Theater  </t>
  </si>
  <si>
    <t>CS Lobby Motion Picture Theater</t>
  </si>
  <si>
    <t>SS Lobby Motion Picture Theater</t>
  </si>
  <si>
    <t>SS Theater Lobby - other theaters</t>
  </si>
  <si>
    <t xml:space="preserve">CS Lobby Performing Arts Theater  </t>
  </si>
  <si>
    <t>CS Lobby Performing Arts Theater</t>
  </si>
  <si>
    <t>SS Lobby Performing Arts Theater</t>
  </si>
  <si>
    <t>SS Theater Lobby - Performing Arts</t>
  </si>
  <si>
    <t xml:space="preserve">CS Locker Room   </t>
  </si>
  <si>
    <t xml:space="preserve">CS Dressing/Locker/Fitting Room </t>
  </si>
  <si>
    <t xml:space="preserve">SS Dressing/Locker/Fitting Room </t>
  </si>
  <si>
    <t>CS Dressing/locker/fitting</t>
  </si>
  <si>
    <t xml:space="preserve">SS Hospital Lounge/Recreation  </t>
  </si>
  <si>
    <t>CS Lounge/Recreation Hospital</t>
  </si>
  <si>
    <t xml:space="preserve">CS Lounge/Recreation </t>
  </si>
  <si>
    <t>SS Health Reception/waiting</t>
  </si>
  <si>
    <t>SO Waiting Area</t>
  </si>
  <si>
    <t xml:space="preserve">CS Lounge/Recreation   </t>
  </si>
  <si>
    <t>CS Lounge/Recreation General</t>
  </si>
  <si>
    <t>CS Lounge/recreation</t>
  </si>
  <si>
    <t>SO Lounge, Recreation</t>
  </si>
  <si>
    <t>CS Office Enclosed</t>
  </si>
  <si>
    <t>SO Office  (250 square feet in floor area or less)</t>
  </si>
  <si>
    <t>CS Office Open Plan</t>
  </si>
  <si>
    <t>CS Office - open</t>
  </si>
  <si>
    <t xml:space="preserve">SS Parking Garage Garage Area  </t>
  </si>
  <si>
    <t>SS Parking Garage Garage Area</t>
  </si>
  <si>
    <t>SS Parking Garage Pedestrian</t>
  </si>
  <si>
    <t xml:space="preserve">SS Hospital Pharmacy  </t>
  </si>
  <si>
    <t>SS Hospital Pharmacy</t>
  </si>
  <si>
    <t>Retail (except Malls) Retail store</t>
  </si>
  <si>
    <t>SS Health Nurse station/Pharmacy</t>
  </si>
  <si>
    <t xml:space="preserve">CS Restrooms   </t>
  </si>
  <si>
    <t xml:space="preserve">CS Restrooms </t>
  </si>
  <si>
    <t>CS Restrooms</t>
  </si>
  <si>
    <t>SS Retail Sales Area</t>
  </si>
  <si>
    <t>SS Retail Department store</t>
  </si>
  <si>
    <t xml:space="preserve">CS Stairway </t>
  </si>
  <si>
    <t xml:space="preserve">CS Stairs—Active </t>
  </si>
  <si>
    <t>CS Stairs- active</t>
  </si>
  <si>
    <t xml:space="preserve">SS Hospital Medical Supply  </t>
  </si>
  <si>
    <t>SS Hospital Medical Supply</t>
  </si>
  <si>
    <t>SS Health Medical supplies</t>
  </si>
  <si>
    <t>SO Medical and Clinical Care</t>
  </si>
  <si>
    <t xml:space="preserve">CS Storage   </t>
  </si>
  <si>
    <t>CS Inactive Storage General</t>
  </si>
  <si>
    <t>Nonrefrigerated warehouse PBA</t>
  </si>
  <si>
    <t>CS Active storage</t>
  </si>
  <si>
    <t>CS Active Storage General</t>
  </si>
  <si>
    <t>CS Inactive storage</t>
  </si>
  <si>
    <t>SS Automotive Service/Repair</t>
  </si>
  <si>
    <t>SS Automotive Service Repair</t>
  </si>
  <si>
    <t>SS Manufacturing Workshop</t>
  </si>
  <si>
    <t>SS Manufacture General workshop</t>
  </si>
  <si>
    <t>SO General Commercial and Industrial Work, Precision</t>
  </si>
  <si>
    <t>SS General Recep./waiting/prefunc.</t>
  </si>
  <si>
    <t>SO Housing, Public and Common Areas: Multi-family, Dormitory</t>
  </si>
  <si>
    <t xml:space="preserve">SS Convention Center Exhibit Space  </t>
  </si>
  <si>
    <t>SS Convention Center Exhibit Space</t>
  </si>
  <si>
    <t>SS Exhibition Hall Exhibit space</t>
  </si>
  <si>
    <t xml:space="preserve">SS Dormitory Living Quarters  </t>
  </si>
  <si>
    <t>SS Dormitory Living Quarters</t>
  </si>
  <si>
    <t xml:space="preserve">SS Fire Stations Sleeping Quarters  </t>
  </si>
  <si>
    <t>SS Fire Stations Sleeping Quarters</t>
  </si>
  <si>
    <t xml:space="preserve">SS Gymnasium/Fitness Center Fitness Area  </t>
  </si>
  <si>
    <t>SS Gymnasium/Exercise Center Exercise Area</t>
  </si>
  <si>
    <t>SS Sports Exercise area</t>
  </si>
  <si>
    <t xml:space="preserve">SS Gymnasium/Fitness Center Playing Area  </t>
  </si>
  <si>
    <t>SS Gymnasium/Exercise Center Playing Area</t>
  </si>
  <si>
    <t>SS Sports Gymnasium playing area</t>
  </si>
  <si>
    <t xml:space="preserve">SS Hospital Emergency  </t>
  </si>
  <si>
    <t>SS Hospital Emergency</t>
  </si>
  <si>
    <t>SS Health Surgery/emergency/OB</t>
  </si>
  <si>
    <t xml:space="preserve">SS Hospital Exam/Treatment  </t>
  </si>
  <si>
    <t>SS Hospital Exam/Treatment</t>
  </si>
  <si>
    <t>SS Health Examination</t>
  </si>
  <si>
    <t xml:space="preserve">SS Hospital Nursery  </t>
  </si>
  <si>
    <t>SS Hospital Nursery</t>
  </si>
  <si>
    <t>SS Health Patient rooms/nursery</t>
  </si>
  <si>
    <t xml:space="preserve">SS Hospital Nurses’ Station  </t>
  </si>
  <si>
    <t>SS Hospital Nurses’ Station</t>
  </si>
  <si>
    <t xml:space="preserve">SS Hospital Operating Room  </t>
  </si>
  <si>
    <t>SS Hospital Operating Room</t>
  </si>
  <si>
    <t xml:space="preserve">SS Hospital Patient Room  </t>
  </si>
  <si>
    <t>SS Hospital Patient Room</t>
  </si>
  <si>
    <t xml:space="preserve">SS Hospital Physical Therapy  </t>
  </si>
  <si>
    <t>SS Hospital Physical Therapy</t>
  </si>
  <si>
    <t>SS Health Therapy</t>
  </si>
  <si>
    <t xml:space="preserve">SS Hospital Recovery  </t>
  </si>
  <si>
    <t>SS Hospital Recovery</t>
  </si>
  <si>
    <t>SS Health Recovery</t>
  </si>
  <si>
    <t xml:space="preserve">SS Library Reading Area  </t>
  </si>
  <si>
    <t>SS Library Reading Area</t>
  </si>
  <si>
    <t>SS Library Reading area</t>
  </si>
  <si>
    <t>SO Library, Reading Areas</t>
  </si>
  <si>
    <t xml:space="preserve">SS Library Stacks  </t>
  </si>
  <si>
    <t>SS Library Stacks</t>
  </si>
  <si>
    <t>SO Library, Stacks</t>
  </si>
  <si>
    <t xml:space="preserve">SS Manufacturing Detailed Manufacturing  </t>
  </si>
  <si>
    <t>SS Manufacturing Detailed Manufacturing</t>
  </si>
  <si>
    <t>SS Manufacture General manufacturing</t>
  </si>
  <si>
    <t>SS Manufacture Equipment room</t>
  </si>
  <si>
    <t xml:space="preserve">SS Manufacturing Extra High Bay (&gt;50 ft Floor to Ceiling Height)  </t>
  </si>
  <si>
    <t>SS Manufacturing High Bay (³25 ft Floor to Ceiling Height)</t>
  </si>
  <si>
    <t xml:space="preserve">SS Manufacturing High Bay  (25–50 ft Floor to Ceiling  Height)  </t>
  </si>
  <si>
    <t xml:space="preserve">SS Manufacturing Low Bay (&lt;25 ft Floor to Ceiling Height)  </t>
  </si>
  <si>
    <t>SS Manufacturing Low Bay (&lt;25 ft Floor to Ceiling Height)</t>
  </si>
  <si>
    <t xml:space="preserve">SS Museum General Exhibition  </t>
  </si>
  <si>
    <t>SS Museum General Exhibition</t>
  </si>
  <si>
    <t>SS Museum General exhibition</t>
  </si>
  <si>
    <t xml:space="preserve">SS Museum Restoration  </t>
  </si>
  <si>
    <t>SS Museum Restoration</t>
  </si>
  <si>
    <t xml:space="preserve">SS Post Office Sorting Area  </t>
  </si>
  <si>
    <t xml:space="preserve">SS Post Office—Sorting Area </t>
  </si>
  <si>
    <t>SS Post Office Sorting Area</t>
  </si>
  <si>
    <t xml:space="preserve">SS Religious Buildings Fellowship Hall  </t>
  </si>
  <si>
    <t>SS Religious Buildings Fellowship Hall</t>
  </si>
  <si>
    <t xml:space="preserve">SS Religious Buildings Worship Pulpit, Choir  </t>
  </si>
  <si>
    <t>SS Religious Buildings Worship Pulpit, Choir</t>
  </si>
  <si>
    <t>SS Religious Worship- pulpit, choir</t>
  </si>
  <si>
    <t xml:space="preserve">CS Dressing/Fitting Room Performing Arts Theater   </t>
  </si>
  <si>
    <t>Retail (except Malls) Other retail</t>
  </si>
  <si>
    <t xml:space="preserve">SS Retail Mall Concourse  </t>
  </si>
  <si>
    <t>SS Retail Mall Concourse</t>
  </si>
  <si>
    <t>Enclosed mall PBA</t>
  </si>
  <si>
    <t>SS Retail Mall concourse</t>
  </si>
  <si>
    <t xml:space="preserve">SS Sports Arena Court Sports Arena—Class 1  </t>
  </si>
  <si>
    <t>SS Sports Arena Court Sports Area</t>
  </si>
  <si>
    <t xml:space="preserve">SS Sports Arena Court Sports Arena—Class 2  </t>
  </si>
  <si>
    <t>SS Sports Jai-alai/tennis/hockey</t>
  </si>
  <si>
    <t xml:space="preserve">SS Sports Arena Court Sports Arena—Class 3  </t>
  </si>
  <si>
    <t xml:space="preserve">SS Sports Arena Court Sports Arena—Class 4  </t>
  </si>
  <si>
    <t xml:space="preserve">SS Transportation Air/Train/Bus—Baggage Area  </t>
  </si>
  <si>
    <t>SS Transportation Air/Train/Bus—Baggage Area</t>
  </si>
  <si>
    <t>Public assembly Other public assembly</t>
  </si>
  <si>
    <t>SS Transport Terminal- baggage</t>
  </si>
  <si>
    <t xml:space="preserve">SS Transportation Airport—Concourse  </t>
  </si>
  <si>
    <t>SS Transportation Airport—Concourse</t>
  </si>
  <si>
    <t xml:space="preserve">SS Transportation Terminal—Ticket Counter  </t>
  </si>
  <si>
    <t>SS Transportation Terminal—Ticket Counter</t>
  </si>
  <si>
    <t>SS Transport Terminal- ticket counter</t>
  </si>
  <si>
    <t xml:space="preserve">SS Warehouse Fine Material Storage  </t>
  </si>
  <si>
    <t>SS Warehouse Fine Material Storage</t>
  </si>
  <si>
    <t>SS Warehouse Fine material</t>
  </si>
  <si>
    <t>Not assiogned</t>
  </si>
  <si>
    <t>Not assigned</t>
  </si>
  <si>
    <t xml:space="preserve">CS Sales Area </t>
  </si>
  <si>
    <t>CS Active Storage Hospital</t>
  </si>
  <si>
    <t>SS Active Storage Hospital</t>
  </si>
  <si>
    <t>SS Parking Garage Attendant Only</t>
  </si>
  <si>
    <t>Lookup Name</t>
  </si>
  <si>
    <t>Allowed Lighting Power (W/ft²)</t>
  </si>
  <si>
    <t>Occupant Sensor</t>
  </si>
  <si>
    <t>Reference Material to Standard</t>
  </si>
  <si>
    <t>Table G3.8 -- Lighting Power Densities Using the Building Area Method</t>
  </si>
  <si>
    <t>BA</t>
  </si>
  <si>
    <t>Dining: Bar Lounge/Leisure</t>
  </si>
  <si>
    <t>Healthcare Clinic</t>
  </si>
  <si>
    <t>Hotel/Motel</t>
  </si>
  <si>
    <t>Table G3.7 Common Space Types</t>
  </si>
  <si>
    <t>CS</t>
  </si>
  <si>
    <t>Audience Seating Area</t>
  </si>
  <si>
    <t>Auditorium</t>
  </si>
  <si>
    <t>Transportation Facility</t>
  </si>
  <si>
    <t>Other</t>
  </si>
  <si>
    <t>0.0375 per ft of height</t>
  </si>
  <si>
    <t>Atrium</t>
  </si>
  <si>
    <t>Less than or equal to 40 ft</t>
  </si>
  <si>
    <t>0.05 + 0.025 per ft of height</t>
  </si>
  <si>
    <t>More than 40 ft</t>
  </si>
  <si>
    <t>Banking Activity Area</t>
  </si>
  <si>
    <t>Classroom/Lecture/Training</t>
  </si>
  <si>
    <t>K-12, laboratory and shops</t>
  </si>
  <si>
    <t>Conference/Meeting/Multipurpose</t>
  </si>
  <si>
    <t>Confinment Cells</t>
  </si>
  <si>
    <t>Copy/Print Room</t>
  </si>
  <si>
    <t>Corridor</t>
  </si>
  <si>
    <t>Assisted Living</t>
  </si>
  <si>
    <t>Manufacturing</t>
  </si>
  <si>
    <t>Courtroom</t>
  </si>
  <si>
    <t>Computer Room</t>
  </si>
  <si>
    <t>Dining Area</t>
  </si>
  <si>
    <t xml:space="preserve">Bar Lounge/Leisure   </t>
  </si>
  <si>
    <t xml:space="preserve">Cafeteria or Fast Food </t>
  </si>
  <si>
    <t xml:space="preserve">Family Dining  </t>
  </si>
  <si>
    <t>Emergency Vehicle Garage</t>
  </si>
  <si>
    <t>Guest Room</t>
  </si>
  <si>
    <t>Judges Chambers</t>
  </si>
  <si>
    <t>None</t>
  </si>
  <si>
    <t>Laboratory</t>
  </si>
  <si>
    <t xml:space="preserve">Classrooms  </t>
  </si>
  <si>
    <t>Laundry/Washing Area</t>
  </si>
  <si>
    <t>Loading Dock, Interior</t>
  </si>
  <si>
    <t>Lobby</t>
  </si>
  <si>
    <t xml:space="preserve">Elevator  </t>
  </si>
  <si>
    <t xml:space="preserve">Motion Picture Theater  </t>
  </si>
  <si>
    <t xml:space="preserve">Performing Arts Theater  </t>
  </si>
  <si>
    <t>Lounge/Break</t>
  </si>
  <si>
    <t>Healthcare</t>
  </si>
  <si>
    <t>Enclosed</t>
  </si>
  <si>
    <t>Open Plan</t>
  </si>
  <si>
    <t>Parking Area, Interior</t>
  </si>
  <si>
    <t>Pharmacy Area</t>
  </si>
  <si>
    <t>Sales Area</t>
  </si>
  <si>
    <t>Seating Area General</t>
  </si>
  <si>
    <t>Stairway</t>
  </si>
  <si>
    <t>Storage</t>
  </si>
  <si>
    <t xml:space="preserve">&gt;= 50 ft² </t>
  </si>
  <si>
    <t xml:space="preserve">&lt; 50 ft² </t>
  </si>
  <si>
    <t>Vehicular Maintenance</t>
  </si>
  <si>
    <t>Table G3.7 -- Space-by-Space Lighting Power and PAFs</t>
  </si>
  <si>
    <t>SS</t>
  </si>
  <si>
    <t>Chapel</t>
  </si>
  <si>
    <t>Recreation Room</t>
  </si>
  <si>
    <t xml:space="preserve">Exhibit Space  </t>
  </si>
  <si>
    <t xml:space="preserve">Living Quarters  </t>
  </si>
  <si>
    <t xml:space="preserve">Sleeping Quarters  </t>
  </si>
  <si>
    <t>Gymnasium/Fitness Center</t>
  </si>
  <si>
    <t xml:space="preserve">Exercise Area  </t>
  </si>
  <si>
    <t xml:space="preserve">Playing Area  </t>
  </si>
  <si>
    <t>Emergency Room</t>
  </si>
  <si>
    <t xml:space="preserve">Exam/Treatment  </t>
  </si>
  <si>
    <t>Supply Room</t>
  </si>
  <si>
    <t xml:space="preserve">Nursery  </t>
  </si>
  <si>
    <t xml:space="preserve">Nurses’ Station  </t>
  </si>
  <si>
    <t xml:space="preserve">Operating Room  </t>
  </si>
  <si>
    <t xml:space="preserve">Patient Room  </t>
  </si>
  <si>
    <t xml:space="preserve">Physical Therapy  </t>
  </si>
  <si>
    <t>Recovery Room</t>
  </si>
  <si>
    <t xml:space="preserve">Reading Area  </t>
  </si>
  <si>
    <t xml:space="preserve">Stacks  </t>
  </si>
  <si>
    <t xml:space="preserve">Detailed Manufacturing  </t>
  </si>
  <si>
    <t xml:space="preserve">Equipment Room  </t>
  </si>
  <si>
    <t xml:space="preserve">Extra High Bay (&gt;50 ft Floor to Ceiling Height)  </t>
  </si>
  <si>
    <t xml:space="preserve">High Bay  (25–50 ft Floor to Ceiling  Height)  </t>
  </si>
  <si>
    <t xml:space="preserve">Low Bay (&lt;25 ft Floor to Ceiling Height)  </t>
  </si>
  <si>
    <t xml:space="preserve">General Exhibition  </t>
  </si>
  <si>
    <t xml:space="preserve">Restoration  </t>
  </si>
  <si>
    <t xml:space="preserve">Sorting Area  </t>
  </si>
  <si>
    <t>Fellowship Hall</t>
  </si>
  <si>
    <t>Worship/Pulpit/Choir</t>
  </si>
  <si>
    <t xml:space="preserve">Dressing/Fitting Room  </t>
  </si>
  <si>
    <t xml:space="preserve">Mall Concourse  </t>
  </si>
  <si>
    <t>Sports Arena Playing Area</t>
  </si>
  <si>
    <t xml:space="preserve">Class I </t>
  </si>
  <si>
    <t xml:space="preserve">Class II </t>
  </si>
  <si>
    <t xml:space="preserve">Class III </t>
  </si>
  <si>
    <t>Class IV</t>
  </si>
  <si>
    <t xml:space="preserve">Baggage/Carousel Area  </t>
  </si>
  <si>
    <t>Concourse</t>
  </si>
  <si>
    <t>Ticket Counter</t>
  </si>
  <si>
    <t>Medium/Bulky Items on Pallets</t>
  </si>
  <si>
    <t>Smaller Hand Carried Items</t>
  </si>
  <si>
    <t>W/ft²</t>
  </si>
  <si>
    <t>RCR Threshold</t>
  </si>
  <si>
    <t>TABLE 9.5.1  Lighting Power Densities Using the Building Area Method</t>
  </si>
  <si>
    <t>Common Space Types</t>
  </si>
  <si>
    <t>First 40 ft in Height</t>
  </si>
  <si>
    <t>Height Above 40 ft</t>
  </si>
  <si>
    <t>Audience Seating Permanent</t>
  </si>
  <si>
    <t xml:space="preserve">Auditorium  </t>
  </si>
  <si>
    <t>General</t>
  </si>
  <si>
    <t xml:space="preserve">Bar Lounge/Leisure Dining  </t>
  </si>
  <si>
    <t xml:space="preserve">Dressing/Fitting Room Performing Arts Theater  </t>
  </si>
  <si>
    <t xml:space="preserve">Medical/Industrial/Research  </t>
  </si>
  <si>
    <t>Building-Specific Space Types</t>
  </si>
  <si>
    <t>Automotive</t>
  </si>
  <si>
    <t>Service/Repair</t>
  </si>
  <si>
    <t>Bank/Office</t>
  </si>
  <si>
    <t xml:space="preserve">Banking Activity Area  </t>
  </si>
  <si>
    <t xml:space="preserve">Audience Seating  </t>
  </si>
  <si>
    <t>Courthouse/Police Station/Penitentiary</t>
  </si>
  <si>
    <t xml:space="preserve">Courtroom  </t>
  </si>
  <si>
    <t xml:space="preserve">Confinement Cells  </t>
  </si>
  <si>
    <t xml:space="preserve">Judges’ Chambers  </t>
  </si>
  <si>
    <t>Fire Stations</t>
  </si>
  <si>
    <t xml:space="preserve">Engine Room  </t>
  </si>
  <si>
    <t xml:space="preserve">Fitness Area  </t>
  </si>
  <si>
    <t xml:space="preserve">Gymnasium Audience Seating  </t>
  </si>
  <si>
    <t xml:space="preserve">Emergency  </t>
  </si>
  <si>
    <t xml:space="preserve">Laundry/Washing  </t>
  </si>
  <si>
    <t xml:space="preserve">Medical Supply  </t>
  </si>
  <si>
    <t xml:space="preserve">Pharmacy  </t>
  </si>
  <si>
    <t xml:space="preserve">Radiology/Imaging  </t>
  </si>
  <si>
    <t xml:space="preserve">Recovery  </t>
  </si>
  <si>
    <t>Hotel/Highway Lodging</t>
  </si>
  <si>
    <t xml:space="preserve">Card File and Cataloging  </t>
  </si>
  <si>
    <t xml:space="preserve">Garage Area  </t>
  </si>
  <si>
    <t>Religious Buildings</t>
  </si>
  <si>
    <t xml:space="preserve">Fellowship Hall  </t>
  </si>
  <si>
    <t xml:space="preserve">Worship Pulpit, Choir  </t>
  </si>
  <si>
    <t xml:space="preserve">Court Sports Arena—Class 1  </t>
  </si>
  <si>
    <t xml:space="preserve">Court Sports Arena—Class 2  </t>
  </si>
  <si>
    <t xml:space="preserve">Court Sports Arena—Class 3  </t>
  </si>
  <si>
    <t xml:space="preserve">Court Sports Arena—Class 4  </t>
  </si>
  <si>
    <t>Indoor Sports Fields</t>
  </si>
  <si>
    <t xml:space="preserve">Ring Sports Arena  </t>
  </si>
  <si>
    <t xml:space="preserve">Air/Train/Bus—Baggage Area  </t>
  </si>
  <si>
    <t xml:space="preserve">Airport—Concourse  </t>
  </si>
  <si>
    <t xml:space="preserve">Terminal—Ticket Counter  </t>
  </si>
  <si>
    <t xml:space="preserve">Fine Material Storage  </t>
  </si>
  <si>
    <t xml:space="preserve">Medium/Bulky Material Storage  </t>
  </si>
  <si>
    <t>Extras</t>
  </si>
  <si>
    <t>Automotive facility</t>
  </si>
  <si>
    <t>Convention center</t>
  </si>
  <si>
    <t>Dining: bar lounge/leisure</t>
  </si>
  <si>
    <t>Dining: cafeteria/fast food</t>
  </si>
  <si>
    <t>Dining: family</t>
  </si>
  <si>
    <t>Exercise center</t>
  </si>
  <si>
    <t>Health-care clinic</t>
  </si>
  <si>
    <t xml:space="preserve">Hospital </t>
  </si>
  <si>
    <t>Manufacturing facility</t>
  </si>
  <si>
    <t>Motion picture theater</t>
  </si>
  <si>
    <t>Parking garage</t>
  </si>
  <si>
    <t>Performing arts theater</t>
  </si>
  <si>
    <t>Police/fire station</t>
  </si>
  <si>
    <t>Post office</t>
  </si>
  <si>
    <t>Religious building</t>
  </si>
  <si>
    <t>School/university</t>
  </si>
  <si>
    <t>Sports arena</t>
  </si>
  <si>
    <t>Town hall</t>
  </si>
  <si>
    <t>Audience/Seating Area</t>
  </si>
  <si>
    <t>Atrium—First Three Floors</t>
  </si>
  <si>
    <t>Atrium—Each Additional Floor</t>
  </si>
  <si>
    <t>Lounge/Recreation</t>
  </si>
  <si>
    <t>Bar Lounge/Leisure Dining</t>
  </si>
  <si>
    <t>Family Dining</t>
  </si>
  <si>
    <t>Restrooms</t>
  </si>
  <si>
    <t>Dressing/Locker/Fitting Room</t>
  </si>
  <si>
    <t>Corridor/Transition</t>
  </si>
  <si>
    <t>Stairs—Active</t>
  </si>
  <si>
    <t>Active Storage</t>
  </si>
  <si>
    <t>Inactive Storage</t>
  </si>
  <si>
    <t>Electrical/Mechanical</t>
  </si>
  <si>
    <t>For accent lighting, see Section 9.6.2(b)</t>
  </si>
  <si>
    <t>Specific Space Types</t>
  </si>
  <si>
    <t>Gymnasium/Exercise Center</t>
  </si>
  <si>
    <t>Playing Area</t>
  </si>
  <si>
    <t>Exercise Area</t>
  </si>
  <si>
    <t>Confinement Cells</t>
  </si>
  <si>
    <t>Judges’ Chambers</t>
  </si>
  <si>
    <t>Engine Room</t>
  </si>
  <si>
    <t>Sleeping Quarters</t>
  </si>
  <si>
    <t>Post Office—Sorting Area</t>
  </si>
  <si>
    <t>Exhibit Space</t>
  </si>
  <si>
    <t>Card File and Cataloging</t>
  </si>
  <si>
    <t>Stacks</t>
  </si>
  <si>
    <t>Reading Area</t>
  </si>
  <si>
    <t>Emergency</t>
  </si>
  <si>
    <t>Recovery</t>
  </si>
  <si>
    <t>Nurses’ Station</t>
  </si>
  <si>
    <t>Exam/Treatment</t>
  </si>
  <si>
    <t>Pharmacy</t>
  </si>
  <si>
    <t>Patient Room</t>
  </si>
  <si>
    <t>Operating Room</t>
  </si>
  <si>
    <t>Nursery</t>
  </si>
  <si>
    <t>Medical Supply</t>
  </si>
  <si>
    <t>Physical Therapy</t>
  </si>
  <si>
    <t>Radiology</t>
  </si>
  <si>
    <t>Laundry—Washing</t>
  </si>
  <si>
    <t>Service Repair</t>
  </si>
  <si>
    <t>Low Bay (&lt;25 ft Floor to Ceiling Height)</t>
  </si>
  <si>
    <t>High Bay (³25 ft Floor to Ceiling Height)</t>
  </si>
  <si>
    <t>Detailed Manufacturing</t>
  </si>
  <si>
    <t>Control Room</t>
  </si>
  <si>
    <t>Guest Rooms</t>
  </si>
  <si>
    <t>Living Quarters</t>
  </si>
  <si>
    <t>General Exhibition</t>
  </si>
  <si>
    <t>Restoration</t>
  </si>
  <si>
    <t>Worship Pulpit, Choir</t>
  </si>
  <si>
    <t>For accent lighting, see Section 9.6.3(c)</t>
  </si>
  <si>
    <t>Mall Concourse</t>
  </si>
  <si>
    <t>Ring Sports Area</t>
  </si>
  <si>
    <t>Court Sports Area</t>
  </si>
  <si>
    <t>Indoor Playing Field Area</t>
  </si>
  <si>
    <t>Fine Material Storage</t>
  </si>
  <si>
    <t>Medium/Bulky Material Storage</t>
  </si>
  <si>
    <t>Garage Area</t>
  </si>
  <si>
    <t>Airport—Concourse</t>
  </si>
  <si>
    <t>Air/Train/Bus—Baggage Area</t>
  </si>
  <si>
    <t>Terminal—Ticket Counter</t>
  </si>
  <si>
    <t>Building Type (Table 9.3.1.1)</t>
  </si>
  <si>
    <t>Hospital/Health Care</t>
  </si>
  <si>
    <t>Police/Fire Station</t>
  </si>
  <si>
    <t>Common Space Types (Table 9.3.1.2)</t>
  </si>
  <si>
    <t>All Other</t>
  </si>
  <si>
    <t>Building Specific Space Types</t>
  </si>
  <si>
    <t>Attendant Only</t>
  </si>
  <si>
    <t>Pedestrian</t>
  </si>
  <si>
    <t>Sorting Area</t>
  </si>
  <si>
    <t>Plus use-it-or-loose-it allowances per Section 9.6.3(c)</t>
  </si>
  <si>
    <t>Building Area Type</t>
  </si>
  <si>
    <t>Schedule Index</t>
  </si>
  <si>
    <t>Misc. Loads (W/ft²)</t>
  </si>
  <si>
    <t>Ventilation rate (cfm/ft²)</t>
  </si>
  <si>
    <t>Occupant Density (ft²/Person)</t>
  </si>
  <si>
    <t>Sensible Occupant Heat Gain (Btu/h-person)</t>
  </si>
  <si>
    <t>Latent Occupant Heat Gain (Btu/h-person)</t>
  </si>
  <si>
    <t>Baseline Water Heating System from Table G3.1.1-2</t>
  </si>
  <si>
    <t>J</t>
  </si>
  <si>
    <t>Gas Storage</t>
  </si>
  <si>
    <t>H</t>
  </si>
  <si>
    <t>Electric Resistance Storage</t>
  </si>
  <si>
    <t>A</t>
  </si>
  <si>
    <t>B</t>
  </si>
  <si>
    <t>E</t>
  </si>
  <si>
    <t>I</t>
  </si>
  <si>
    <t>F</t>
  </si>
  <si>
    <t>M</t>
  </si>
  <si>
    <t>Added by Charles Eley</t>
  </si>
  <si>
    <t>C</t>
  </si>
  <si>
    <t>K</t>
  </si>
  <si>
    <t>G</t>
  </si>
  <si>
    <t>L</t>
  </si>
  <si>
    <t>n. a.</t>
  </si>
  <si>
    <t>Included in Table G3.1.1-2</t>
  </si>
  <si>
    <t>UWBD</t>
  </si>
  <si>
    <t xml:space="preserve">Note: This data is published on the SSPC 90.1 website and is intended for use with the envelope trade-off method. Columns H and beyond are added to include information from Appendix G and other sources. </t>
  </si>
  <si>
    <t>Plug Load Data (Note 1)</t>
  </si>
  <si>
    <t>Service Water Heating and Ventilation Rates from NREL (Note 2)</t>
  </si>
  <si>
    <t>Analysis based on Brandemuehl comments 3/8/2015</t>
  </si>
  <si>
    <t>CBECS Classifications</t>
  </si>
  <si>
    <t>Class</t>
  </si>
  <si>
    <t>PBAcode</t>
  </si>
  <si>
    <t>PLUScode</t>
  </si>
  <si>
    <t>PBA</t>
  </si>
  <si>
    <t>PBA Plus</t>
  </si>
  <si>
    <t>CBECS 2003 Count</t>
  </si>
  <si>
    <t>EPD Average</t>
  </si>
  <si>
    <t>EPD Standard Dev</t>
  </si>
  <si>
    <t>EPD Minimum</t>
  </si>
  <si>
    <t>EPD Maximum</t>
  </si>
  <si>
    <t>Area Weighted EPD</t>
  </si>
  <si>
    <t>CBECS Weighted EPD</t>
  </si>
  <si>
    <t>Pdmisc</t>
  </si>
  <si>
    <t>Diversity</t>
  </si>
  <si>
    <t>Mapping to NREL956</t>
  </si>
  <si>
    <t>Use Rate (gal/d-occ)</t>
  </si>
  <si>
    <t>Storage Value (gal/occ)</t>
  </si>
  <si>
    <t>Recovery Rate (gal/h-occ)</t>
  </si>
  <si>
    <t>OA Ventilation (cfm/occ)</t>
  </si>
  <si>
    <t>Mapping to PBAPlus</t>
  </si>
  <si>
    <t>Mapping back to 90.1-2010</t>
  </si>
  <si>
    <t>Additional Mapping</t>
  </si>
  <si>
    <t>Vacant</t>
  </si>
  <si>
    <t xml:space="preserve">Vacant </t>
  </si>
  <si>
    <t>Office/Professional &gt; 30,000 ft²</t>
  </si>
  <si>
    <t>Administrative/professional office</t>
  </si>
  <si>
    <t xml:space="preserve">Laboratory  </t>
  </si>
  <si>
    <t>Nonrefrigerated warehouse</t>
  </si>
  <si>
    <t xml:space="preserve">Nonrefrigerated warehouse </t>
  </si>
  <si>
    <t>Non-refrigerated warehouse</t>
  </si>
  <si>
    <t>Food sales</t>
  </si>
  <si>
    <t xml:space="preserve">Food sales </t>
  </si>
  <si>
    <t>Other food sales</t>
  </si>
  <si>
    <t>MJB4</t>
  </si>
  <si>
    <t>Public order and safety</t>
  </si>
  <si>
    <t xml:space="preserve">Public order and safety </t>
  </si>
  <si>
    <t>Other public order and safety</t>
  </si>
  <si>
    <t>Outpatient health care</t>
  </si>
  <si>
    <t xml:space="preserve">Outpatient health care  </t>
  </si>
  <si>
    <t>Clinic/other outpatient health</t>
  </si>
  <si>
    <t>Refrigerated warehouse</t>
  </si>
  <si>
    <t xml:space="preserve">Refrigerated warehouse </t>
  </si>
  <si>
    <t>MJB17</t>
  </si>
  <si>
    <t>Religious worship</t>
  </si>
  <si>
    <t xml:space="preserve">Religious worship </t>
  </si>
  <si>
    <t>Public assembly</t>
  </si>
  <si>
    <t xml:space="preserve">Public assembly </t>
  </si>
  <si>
    <t>Social/meeting</t>
  </si>
  <si>
    <t>MJB9</t>
  </si>
  <si>
    <t>Education</t>
  </si>
  <si>
    <t>Education college</t>
  </si>
  <si>
    <t>High school</t>
  </si>
  <si>
    <t>Food service</t>
  </si>
  <si>
    <t xml:space="preserve">Food service </t>
  </si>
  <si>
    <t>Restaurant/cafeteria</t>
  </si>
  <si>
    <t>Inpatient health care</t>
  </si>
  <si>
    <t xml:space="preserve">Inpatient health care </t>
  </si>
  <si>
    <t>Hospital/inpatient health</t>
  </si>
  <si>
    <t>MJB15</t>
  </si>
  <si>
    <t>Nursing</t>
  </si>
  <si>
    <t xml:space="preserve">Skilled nursing  </t>
  </si>
  <si>
    <t>Nursing home/assisted living</t>
  </si>
  <si>
    <t>MJB12</t>
  </si>
  <si>
    <t>Lodging 20-100 rooms</t>
  </si>
  <si>
    <t>Strip shopping mall</t>
  </si>
  <si>
    <t>Enclosed mall</t>
  </si>
  <si>
    <t>MJB18</t>
  </si>
  <si>
    <t>Retail (except Malls)</t>
  </si>
  <si>
    <t>Retail store</t>
  </si>
  <si>
    <t>Service (except Food)</t>
  </si>
  <si>
    <t xml:space="preserve">Service </t>
  </si>
  <si>
    <t>Repair shop</t>
  </si>
  <si>
    <t xml:space="preserve">Other </t>
  </si>
  <si>
    <t>Plus</t>
  </si>
  <si>
    <t>Bank/other financial</t>
  </si>
  <si>
    <t>Office/Professional &lt; 30,000 ft²</t>
  </si>
  <si>
    <t>Government office</t>
  </si>
  <si>
    <t>MJB2</t>
  </si>
  <si>
    <t>Medical office (non-diagnostic)</t>
  </si>
  <si>
    <t>Mixed-use office</t>
  </si>
  <si>
    <t>Other office</t>
  </si>
  <si>
    <t>MJB3</t>
  </si>
  <si>
    <t>Distribution/shipping center</t>
  </si>
  <si>
    <t>MJB16</t>
  </si>
  <si>
    <t>Self-storage</t>
  </si>
  <si>
    <t>Convenience store</t>
  </si>
  <si>
    <t>Convenience store with gas station</t>
  </si>
  <si>
    <t>Grocery store/food market</t>
  </si>
  <si>
    <t>Fire station/police station</t>
  </si>
  <si>
    <t>MJB5</t>
  </si>
  <si>
    <t>MJB6</t>
  </si>
  <si>
    <t>Medical office (diagnostic)</t>
  </si>
  <si>
    <t>Not the same.</t>
  </si>
  <si>
    <t>Entertainment/culture</t>
  </si>
  <si>
    <t>MJB7</t>
  </si>
  <si>
    <t>Recreation</t>
  </si>
  <si>
    <t>MJB8</t>
  </si>
  <si>
    <t>Other public assembly</t>
  </si>
  <si>
    <t>MJB10</t>
  </si>
  <si>
    <t>College/university</t>
  </si>
  <si>
    <t>Elementary/middle school</t>
  </si>
  <si>
    <t>Education elementary</t>
  </si>
  <si>
    <t>Education high school</t>
  </si>
  <si>
    <t>Preschool/daycare</t>
  </si>
  <si>
    <t>Other classroom education</t>
  </si>
  <si>
    <t>Fast food</t>
  </si>
  <si>
    <t>Other food service</t>
  </si>
  <si>
    <t>MJB11</t>
  </si>
  <si>
    <t>Dormitory/fraternity/sorority</t>
  </si>
  <si>
    <t>Motel or inn</t>
  </si>
  <si>
    <t>Other lodging</t>
  </si>
  <si>
    <t>MJB13, MJB19</t>
  </si>
  <si>
    <t>Vehicle dealership/showroom</t>
  </si>
  <si>
    <t>Other retail</t>
  </si>
  <si>
    <t>Post office/postal center</t>
  </si>
  <si>
    <t>Vehicle service/repair shop</t>
  </si>
  <si>
    <t>Vehicle storage/maintenance</t>
  </si>
  <si>
    <t>Other service</t>
  </si>
  <si>
    <t>MJB14</t>
  </si>
  <si>
    <t>Notes:</t>
  </si>
  <si>
    <t>1. These EPD values were calculated on a separate spreadsheet (see 'COMNET Plug Load Calcs (Rev 3).xlsx'). For each CBECS 2003 site, the EPA is</t>
  </si>
  <si>
    <t>calculated using the procedures based on the NREL methodology technical report (NRL/TP-550-41956). However, the average equipment power values used in</t>
  </si>
  <si>
    <t>Lookup Range for Above Analysis</t>
  </si>
  <si>
    <t>the NREL report were updated to reflect the shift from CRTs to flat screen monitors and other changes that have occurred since the report was originally</t>
  </si>
  <si>
    <t>COMNET/90.1 Classifications</t>
  </si>
  <si>
    <t xml:space="preserve">published. The new data were taken from the HOF 2013. See 150928 Plug Loads TSD.pff. </t>
  </si>
  <si>
    <t>2. The source of this information is taken from Table C39 and Table C40, NREL/TP-550-41956.</t>
  </si>
  <si>
    <t>Service (except Food) Vehicle storage/maintenance</t>
  </si>
  <si>
    <t>Other PBA</t>
  </si>
  <si>
    <t xml:space="preserve">SS Fire Stations Engine Room  </t>
  </si>
  <si>
    <t xml:space="preserve">SS Hospital Radiology/Imaging  </t>
  </si>
  <si>
    <t xml:space="preserve">SS Hotel/Highway Lodging Hotel Dining  </t>
  </si>
  <si>
    <t xml:space="preserve">SS Hotel/Highway Lodging Highway Lodging Dining  </t>
  </si>
  <si>
    <t>Lodging Motel or inn</t>
  </si>
  <si>
    <t xml:space="preserve">SS Hotel/Highway Lodging Highway Lodging Guest Rooms  </t>
  </si>
  <si>
    <t xml:space="preserve">SS Library Card File and Cataloging  </t>
  </si>
  <si>
    <t xml:space="preserve">SS Courthouse/Police Station/Penitentiary Penitentiary Audience Seating  </t>
  </si>
  <si>
    <t xml:space="preserve">SS Courthouse/Police Station/Penitentiary Penitentiary Classroom  </t>
  </si>
  <si>
    <t xml:space="preserve">SS Courthouse/Police Station/Penitentiary Penitentiary Dining  </t>
  </si>
  <si>
    <t xml:space="preserve">SS Retail Dressing/Fitting Room  </t>
  </si>
  <si>
    <t>SS Sports Arena Indoor Sports Fields</t>
  </si>
  <si>
    <t xml:space="preserve">SS Sports Arena Ring Sports Arena  </t>
  </si>
  <si>
    <t>Refrigerated warehouse PBA</t>
  </si>
  <si>
    <t>Electric Energy (kWh/ft²-y) Source: CEUS Table E-3</t>
  </si>
  <si>
    <t>Gas Energy (kBtu/ft²-y)</t>
  </si>
  <si>
    <t>Building Type</t>
  </si>
  <si>
    <t>Gas Process (Btu/h-ft²)</t>
  </si>
  <si>
    <t>Refrigeration (W/ft²)</t>
  </si>
  <si>
    <t xml:space="preserve">Floor Stock (ft²) </t>
  </si>
  <si>
    <t>Total</t>
  </si>
  <si>
    <t>Heat</t>
  </si>
  <si>
    <t>Cool</t>
  </si>
  <si>
    <t>Vent</t>
  </si>
  <si>
    <t>Refrig</t>
  </si>
  <si>
    <t>Water</t>
  </si>
  <si>
    <t>Cooking</t>
  </si>
  <si>
    <t>Interior Lights</t>
  </si>
  <si>
    <t>Exterior Lights</t>
  </si>
  <si>
    <t>Office Equipment</t>
  </si>
  <si>
    <t>Misc.</t>
  </si>
  <si>
    <t>Air Compressors</t>
  </si>
  <si>
    <t>Motors</t>
  </si>
  <si>
    <t>Other Process</t>
  </si>
  <si>
    <t>All Commercial</t>
  </si>
  <si>
    <t>Food Store</t>
  </si>
  <si>
    <t>Refrigerated Warehouse</t>
  </si>
  <si>
    <t>All Warehouses</t>
  </si>
  <si>
    <t>(ft²/person)</t>
  </si>
  <si>
    <t>(W/ft2)</t>
  </si>
  <si>
    <t>(Btu/h-person)</t>
  </si>
  <si>
    <t xml:space="preserve">(CFM/ft²) </t>
  </si>
  <si>
    <t>[CFM/person]</t>
  </si>
  <si>
    <t>(W/ft²</t>
  </si>
  <si>
    <t>Reference to Compliance Supplement</t>
  </si>
  <si>
    <t xml:space="preserve">Occupant Density </t>
  </si>
  <si>
    <t xml:space="preserve">Receptacle Power </t>
  </si>
  <si>
    <t xml:space="preserve">Service Water Heating </t>
  </si>
  <si>
    <t xml:space="preserve">Minimum O.A. </t>
  </si>
  <si>
    <t>Operating Schedule (Table 7.1.C)</t>
  </si>
  <si>
    <t xml:space="preserve">Lighting Power Density </t>
  </si>
  <si>
    <t>Space Function</t>
  </si>
  <si>
    <t>Educational</t>
  </si>
  <si>
    <t>Food Service</t>
  </si>
  <si>
    <t>Health &amp; Institutional</t>
  </si>
  <si>
    <t xml:space="preserve">Industrial </t>
  </si>
  <si>
    <t>Office (Business)</t>
  </si>
  <si>
    <t>Warehouse (Storage)</t>
  </si>
  <si>
    <t>*</t>
  </si>
  <si>
    <t>Active storage</t>
  </si>
  <si>
    <t>Atria- 1st three floors</t>
  </si>
  <si>
    <t>Auto repair</t>
  </si>
  <si>
    <t>2.33+</t>
  </si>
  <si>
    <t>Banking activity</t>
  </si>
  <si>
    <t>Classroom/lecture/training</t>
  </si>
  <si>
    <t>Conf./mtg./multi-use</t>
  </si>
  <si>
    <t>Corridor/transition</t>
  </si>
  <si>
    <t>Dining area- General</t>
  </si>
  <si>
    <t>Dressing/locker/fitting</t>
  </si>
  <si>
    <t>Food preparation</t>
  </si>
  <si>
    <t>Inactive storage</t>
  </si>
  <si>
    <t>Ironing/sorting</t>
  </si>
  <si>
    <t>1.64+</t>
  </si>
  <si>
    <t>Laboratory/research</t>
  </si>
  <si>
    <t>Lounge/recreation</t>
  </si>
  <si>
    <t>Mechanical/electrical</t>
  </si>
  <si>
    <t>Office - enclosed</t>
  </si>
  <si>
    <t>Office - open</t>
  </si>
  <si>
    <t>Reception/waiting</t>
  </si>
  <si>
    <t>Stairs- active</t>
  </si>
  <si>
    <t>Stairs- inactive</t>
  </si>
  <si>
    <t>Washing</t>
  </si>
  <si>
    <t>Civil Services</t>
  </si>
  <si>
    <t>Fire engine room</t>
  </si>
  <si>
    <t>Jail/peniten. living area</t>
  </si>
  <si>
    <t>Police laboratory</t>
  </si>
  <si>
    <t>Post office sorting areas</t>
  </si>
  <si>
    <t>Classroom</t>
  </si>
  <si>
    <t>Dressing/lockers</t>
  </si>
  <si>
    <t>Study hall</t>
  </si>
  <si>
    <t>0.96+</t>
  </si>
  <si>
    <t>Exhibition Hall</t>
  </si>
  <si>
    <t>Exhibit space</t>
  </si>
  <si>
    <t>Food</t>
  </si>
  <si>
    <t>Bar/lounge</t>
  </si>
  <si>
    <t>Cafeteria/fast food</t>
  </si>
  <si>
    <t>Family dining</t>
  </si>
  <si>
    <t>Leisure dining</t>
  </si>
  <si>
    <t>Uncond.</t>
  </si>
  <si>
    <t>Garage</t>
  </si>
  <si>
    <t>Guest rooms</t>
  </si>
  <si>
    <t>Recep./waiting/prefunc.</t>
  </si>
  <si>
    <t>Corridors- Health</t>
  </si>
  <si>
    <t>Examination</t>
  </si>
  <si>
    <t>Medical supplies</t>
  </si>
  <si>
    <t>Nurse station/Pharmacy</t>
  </si>
  <si>
    <t>Patient rooms/nursery</t>
  </si>
  <si>
    <t>Surgery/emergency/OB</t>
  </si>
  <si>
    <t>Therapy</t>
  </si>
  <si>
    <t>Hotels</t>
  </si>
  <si>
    <t>Banquet</t>
  </si>
  <si>
    <t>Dining- Hotel</t>
  </si>
  <si>
    <t>Lobby-Hotel</t>
  </si>
  <si>
    <t>1.42+</t>
  </si>
  <si>
    <t>Card file/cataloging</t>
  </si>
  <si>
    <t>Reading area</t>
  </si>
  <si>
    <t>Manufacture</t>
  </si>
  <si>
    <t>Control room</t>
  </si>
  <si>
    <t>Electronic/detail</t>
  </si>
  <si>
    <t>Equipment room</t>
  </si>
  <si>
    <t>General manufacturing</t>
  </si>
  <si>
    <t>General workshop</t>
  </si>
  <si>
    <t>Painting/welding</t>
  </si>
  <si>
    <t>Motels</t>
  </si>
  <si>
    <t>Dining- Motel</t>
  </si>
  <si>
    <t>Lobby- Motel</t>
  </si>
  <si>
    <t>General exhibition</t>
  </si>
  <si>
    <t>Storage (artifacts)- active</t>
  </si>
  <si>
    <t>Storage (artifacts)- inactive</t>
  </si>
  <si>
    <t>3.68+</t>
  </si>
  <si>
    <t>Religious</t>
  </si>
  <si>
    <t>Worship- congregation</t>
  </si>
  <si>
    <t>Worship- pulpit, choir</t>
  </si>
  <si>
    <t>Department store</t>
  </si>
  <si>
    <t>Dressing/fitting rooms</t>
  </si>
  <si>
    <t>Fine merchandise</t>
  </si>
  <si>
    <t>Mall concourse</t>
  </si>
  <si>
    <t>Mass merchandising</t>
  </si>
  <si>
    <t>Personal services</t>
  </si>
  <si>
    <t>Specialty store</t>
  </si>
  <si>
    <t>Supermarket</t>
  </si>
  <si>
    <t>Sports</t>
  </si>
  <si>
    <t>Boxing/wrestling ring</t>
  </si>
  <si>
    <t>Exercise area</t>
  </si>
  <si>
    <t>Gymnasium playing area</t>
  </si>
  <si>
    <t>Indoor athletics seating</t>
  </si>
  <si>
    <t>Jai-alai/tennis/hockey</t>
  </si>
  <si>
    <t>Locker room/shower</t>
  </si>
  <si>
    <t>Other/televised play. area</t>
  </si>
  <si>
    <t>Theater</t>
  </si>
  <si>
    <t>Auditorium seating area</t>
  </si>
  <si>
    <t>Dressing rooms</t>
  </si>
  <si>
    <t>Lobby - other theaters</t>
  </si>
  <si>
    <t>Lobby - Performing Arts</t>
  </si>
  <si>
    <t>Motion picture seating</t>
  </si>
  <si>
    <t>Performing arts seating</t>
  </si>
  <si>
    <t>Transport</t>
  </si>
  <si>
    <t>Terminal- baggage</t>
  </si>
  <si>
    <t>0.67+</t>
  </si>
  <si>
    <t>Terminal- concourse</t>
  </si>
  <si>
    <t>Terminal- dining area</t>
  </si>
  <si>
    <t>Terminal- ticket counter</t>
  </si>
  <si>
    <t>Terminal- waiting/lounge</t>
  </si>
  <si>
    <t>Fine material</t>
  </si>
  <si>
    <t>Inactive stor./elec/mech</t>
  </si>
  <si>
    <t>Medium/Bulky material</t>
  </si>
  <si>
    <t>Whole Building Notes</t>
  </si>
  <si>
    <t>Note 4</t>
  </si>
  <si>
    <t>Note 5</t>
  </si>
  <si>
    <t>Sub-Occupancy Notes</t>
  </si>
  <si>
    <t xml:space="preserve">Person/1000 ft² </t>
  </si>
  <si>
    <t>Btu/person</t>
  </si>
  <si>
    <t>Btu/h-person</t>
  </si>
  <si>
    <t xml:space="preserve">cfm/ft² </t>
  </si>
  <si>
    <t>Cl</t>
  </si>
  <si>
    <t>Table Name</t>
  </si>
  <si>
    <t>Occupant Density</t>
  </si>
  <si>
    <t>Sensible Heat Gain Per Person</t>
  </si>
  <si>
    <t>Latent Heat Gain per Person</t>
  </si>
  <si>
    <t>Receptacle Load</t>
  </si>
  <si>
    <t>Hot Water Load</t>
  </si>
  <si>
    <t>Whole Building (Building Area)</t>
  </si>
  <si>
    <t>Note 8</t>
  </si>
  <si>
    <t>Auditoriums</t>
  </si>
  <si>
    <t>Classroom Building</t>
  </si>
  <si>
    <t>Commercial and Industrial Building</t>
  </si>
  <si>
    <t>Convention Centers</t>
  </si>
  <si>
    <t>Financial Institutions</t>
  </si>
  <si>
    <t>General Commercial and Industrial Work Buildings, High Bay</t>
  </si>
  <si>
    <t>General Commercial and Industrial Work Buildings, Low Bay</t>
  </si>
  <si>
    <t>Grocery Stores</t>
  </si>
  <si>
    <t>Medical Buildings and Clinics</t>
  </si>
  <si>
    <t>Office Buildings</t>
  </si>
  <si>
    <t>Religious Facilities</t>
  </si>
  <si>
    <r>
      <t>Restaurants</t>
    </r>
    <r>
      <rPr>
        <sz val="8"/>
        <color indexed="8"/>
        <rFont val="Arial"/>
        <family val="2"/>
      </rPr>
      <t/>
    </r>
  </si>
  <si>
    <r>
      <t>Schools</t>
    </r>
    <r>
      <rPr>
        <sz val="8"/>
        <color indexed="8"/>
        <rFont val="Arial"/>
        <family val="2"/>
      </rPr>
      <t/>
    </r>
  </si>
  <si>
    <r>
      <t>Theaters</t>
    </r>
    <r>
      <rPr>
        <sz val="8"/>
        <color indexed="8"/>
        <rFont val="Arial"/>
        <family val="2"/>
      </rPr>
      <t/>
    </r>
  </si>
  <si>
    <t>Sub-Occupancy Type (Note 1)</t>
  </si>
  <si>
    <t>SO</t>
  </si>
  <si>
    <t>Note 10</t>
  </si>
  <si>
    <t>0.9[i]</t>
  </si>
  <si>
    <t>Bar, Cocktail Lounge and Casino</t>
  </si>
  <si>
    <t>Beauty Salon</t>
  </si>
  <si>
    <t>Classrooms, Lecture, Training, Vocational Room</t>
  </si>
  <si>
    <r>
      <t>Civic  Meeting Place</t>
    </r>
    <r>
      <rPr>
        <sz val="8"/>
        <color indexed="8"/>
        <rFont val="Arial"/>
        <family val="2"/>
      </rPr>
      <t/>
    </r>
  </si>
  <si>
    <t>Commercial and Industrial Storage (conditioned or unconditioned)</t>
  </si>
  <si>
    <t>Commercial and Industrial Storage (refrigerated)</t>
  </si>
  <si>
    <t>Convention, Conference, Multi-purpose and Meeting Centers (Note 10)</t>
  </si>
  <si>
    <t>Corridors, Restrooms, Stairs, and Support Areas</t>
  </si>
  <si>
    <t>Dining</t>
  </si>
  <si>
    <t>Electrical, Mechanical Room</t>
  </si>
  <si>
    <t>Exercise, Center,  Gymnasium</t>
  </si>
  <si>
    <t>Exhibit, Museum</t>
  </si>
  <si>
    <t>Financial Transaction</t>
  </si>
  <si>
    <t>Dry Cleaning (Coin Operated)</t>
  </si>
  <si>
    <t>Dry Cleaning (Full Service Commercial)</t>
  </si>
  <si>
    <t>General Commercial and Industrial Work, High Bay</t>
  </si>
  <si>
    <t xml:space="preserve">1. 0 </t>
  </si>
  <si>
    <t>General Commercial and Industrial Work, Low Bay</t>
  </si>
  <si>
    <t>General Commercial and Industrial Work, Precision</t>
  </si>
  <si>
    <t xml:space="preserve">1. 2 </t>
  </si>
  <si>
    <t>Grocery Sales</t>
  </si>
  <si>
    <t>High-Rise Residential Living Spaces</t>
  </si>
  <si>
    <t>Note 9</t>
  </si>
  <si>
    <t>Hotel Function Area</t>
  </si>
  <si>
    <t>Hotel/Motel Guest Room</t>
  </si>
  <si>
    <t>Housing, Public and Common Areas: Multi-family, Dormitory</t>
  </si>
  <si>
    <t>Housing, Public and Common Areas:, Senior Housing</t>
  </si>
  <si>
    <t>Kitchen, Food Preparation</t>
  </si>
  <si>
    <t>Laboratory, Scientific</t>
  </si>
  <si>
    <t>Laundry</t>
  </si>
  <si>
    <t>Library, Reading Areas</t>
  </si>
  <si>
    <t>Library, Stacks</t>
  </si>
  <si>
    <t>Lobby, Hotel</t>
  </si>
  <si>
    <t>Lobby, Main Entry</t>
  </si>
  <si>
    <t>Locker/Dressing Room</t>
  </si>
  <si>
    <t>Lounge, Recreation</t>
  </si>
  <si>
    <t>Malls  and Atria</t>
  </si>
  <si>
    <t>Medical and Clinical Care</t>
  </si>
  <si>
    <t>Office  (Greater than 250 square feet in floor area)</t>
  </si>
  <si>
    <t>Office  (250 square feet in floor area or less)</t>
  </si>
  <si>
    <t>Police Station and Fire Station</t>
  </si>
  <si>
    <t>Religious Worship</t>
  </si>
  <si>
    <t>Retail Merchandise Sales, Wholesale Showroom</t>
  </si>
  <si>
    <t>Tenant Lease Space</t>
  </si>
  <si>
    <t>Theater, Motion Picture</t>
  </si>
  <si>
    <t>Theater, Performance</t>
  </si>
  <si>
    <t>Transportation Function</t>
  </si>
  <si>
    <t>Waiting Area</t>
  </si>
  <si>
    <t>All Others</t>
  </si>
  <si>
    <t>Notes for Whole Building Table</t>
  </si>
  <si>
    <t>(1) Most occupancy values are based on an assumed mix of sub-occupancies within the area. These values were based on one half the maximum occupant load for exiting purposes in the CBC.  Full value for design conditions. Full year operational schedules reduce these values by up to 50% for compliance simulations and full year test simulations.</t>
  </si>
  <si>
    <t>(2) From Table 1, p. 29.4, ASHRAE 2001Handbook of Fundamentals</t>
  </si>
  <si>
    <t>(3) From Lawrence Berkeley Laboratory study.  This value is fixed and includes all equipment that is plugged into receptacle outlets.</t>
  </si>
  <si>
    <t>(4) From Table 146-E of the Standards for the applicable occupancy. The lighting power density of the standard building, for areas where no lighting plans or specifications are submitted for permit and the occupancy of the building is not known, is 1.2 watts per square foot.</t>
  </si>
  <si>
    <t>(5) Developed from § 121 and Table 121-A of the Standards</t>
  </si>
  <si>
    <t>(6) Hotel uses values for Hotel Function Area from Table N2-6.</t>
  </si>
  <si>
    <t>(7) For retail and wholesale stores, the complete building method may only be used when the sales area is 70% or greater of the building area.</t>
  </si>
  <si>
    <t>(8) For these occupancies, when the proposed design is required to have demand control ventilation by § 121 (c) 3 the ventilation rate is the minimum that would occur at any time during occupied hours. Additional ventilation would be provided through demand controlled ventilation to maintain CO2 levels according to § 121 of the Standards.</t>
  </si>
  <si>
    <t>Notes for Space by Space Table</t>
  </si>
  <si>
    <t>(1)  Subcategories of these sub-occupancies are described in Section 2.4.1.1 (Occupancy Types) of this manual.</t>
  </si>
  <si>
    <t>(2)  Values based on one half the maximum occupant load for exiting purposes in the CBC.  Full value for design conditions.  Full year operational schedules reduce these values by up to 50% for compliance simulations and full year test simulations.</t>
  </si>
  <si>
    <t>(3)  From Table 1, p. 29.4, ASHRAE 2001 Handbook of Fundamentals.</t>
  </si>
  <si>
    <t xml:space="preserve">(4)  From Lawrence Berkeley Laboratory study.  This value is fixed and includes all equipment that is plugged into receptacle outlets. </t>
  </si>
  <si>
    <t>(5)  From Table 146-F of the Standards for the applicable occupancy.  Compliance software shall use this value for the standard building design when lighting compliance is performed for the zone or area in question.</t>
  </si>
  <si>
    <t>(6)  Developed from 121 and Table 121-A of the Standards.</t>
  </si>
  <si>
    <t>(7)  Refer to residential water heating method.</t>
  </si>
  <si>
    <t>(8)  The use of this occupancy category is an exceptional condition that shall appear on the exceptional conditions checklist and thus requires special justification and documentation and independent verification by the local enforcement agency.</t>
  </si>
  <si>
    <t>(9)  For hotel/motel guest rooms and high-rise residential living spaces all these values are fixed and are the same for both the proposed design and the standard design.  Compliance software shall ignore user inputs that modify these assumptions for these two occupancies.  Spaces in high-rise residential buildings other than living spaces shall use the values for Housing, Public and Common Areas (either multi-family or senior housing).</t>
  </si>
  <si>
    <t>(10) For these occupancies, when the proposed design is required to have demand control ventilation by § 121 (c) 3 the ventilation rate is the minimum that would occur at any time during occupied hours. Additional ventilation would be provided through demand controlled ventilation to maintain CO2 levels according to § 121.</t>
  </si>
  <si>
    <t>(11) From Benya, July 2006 Workshop, Changes to Lighting Power Density Values: Bringing Certain Values in  Line with Standard 90.1, http://www.energy.ca.gov/title24/2008standards/documents/2006-07-12_workshop/MEASURE_BLD_02.PDF</t>
  </si>
  <si>
    <t>Service Hot Water (Note 1)</t>
  </si>
  <si>
    <t>Default Outside Air Rate (Note 2)</t>
  </si>
  <si>
    <t>From Kristin</t>
  </si>
  <si>
    <t>PBA Code</t>
  </si>
  <si>
    <t xml:space="preserve">PBA Name </t>
  </si>
  <si>
    <t>Sub Name</t>
  </si>
  <si>
    <t>Use Rate (l/d-occ)</t>
  </si>
  <si>
    <t>Storage Value (l/occ)</t>
  </si>
  <si>
    <t>Recovery Rate (ml/occ)</t>
  </si>
  <si>
    <t>l/s-occ</t>
  </si>
  <si>
    <t>cfm/occ</t>
  </si>
  <si>
    <t>Default OA Rate (cfm/occ)</t>
  </si>
  <si>
    <t>SHW (L/occ-d)</t>
  </si>
  <si>
    <t>Office/Professional</t>
  </si>
  <si>
    <t>&lt; 30,000 ft²</t>
  </si>
  <si>
    <t>55.3/45.3 (7)</t>
  </si>
  <si>
    <t>&gt; 30,000 ft²</t>
  </si>
  <si>
    <t xml:space="preserve">Laboratory </t>
  </si>
  <si>
    <t xml:space="preserve">Outpatient health care </t>
  </si>
  <si>
    <t>college</t>
  </si>
  <si>
    <r>
      <t xml:space="preserve">2.3/6.8 </t>
    </r>
    <r>
      <rPr>
        <sz val="6"/>
        <rFont val="Arial"/>
        <family val="2"/>
      </rPr>
      <t>(2)</t>
    </r>
  </si>
  <si>
    <t>elementary</t>
  </si>
  <si>
    <t>high school</t>
  </si>
  <si>
    <t>pre-school</t>
  </si>
  <si>
    <t xml:space="preserve">Skilled nursing </t>
  </si>
  <si>
    <t>Service</t>
  </si>
  <si>
    <t>(do not select)</t>
  </si>
  <si>
    <t>l/d-rm</t>
  </si>
  <si>
    <t>gal/d-rm</t>
  </si>
  <si>
    <t>&lt; 20 rooms</t>
  </si>
  <si>
    <r>
      <t xml:space="preserve">75.8/53.1/37.9 </t>
    </r>
    <r>
      <rPr>
        <sz val="6"/>
        <rFont val="Arial"/>
        <family val="2"/>
      </rPr>
      <t>(5)</t>
    </r>
  </si>
  <si>
    <t>20-100 rooms</t>
  </si>
  <si>
    <t>&gt;100 rooms</t>
  </si>
  <si>
    <t>Source is Table C40, NREL TP-550-41956</t>
  </si>
  <si>
    <t>Source is Table C39, NREL TP-550-41956</t>
  </si>
  <si>
    <t>Conversions</t>
  </si>
  <si>
    <t>litres per gallon</t>
  </si>
  <si>
    <t>l/s per cfm</t>
  </si>
  <si>
    <t>ml/s per gal/h</t>
  </si>
  <si>
    <t>The hot water load for hotels, motels, dormitories, and penetentiaries is 20</t>
  </si>
  <si>
    <t>gallons/day-occupant for facilities with 20 or fewer rooms; 14 gallong/day-occupant for</t>
  </si>
  <si>
    <t>facilities with 20 to 100 rooms; and 10 gallons/day-occupant for facilities with more than</t>
  </si>
  <si>
    <t xml:space="preserve">100 rooms. </t>
  </si>
  <si>
    <t>The hot water load for dwellling units shall be calculated as 30 gallons/day per dwelling</t>
  </si>
  <si>
    <t>unit plus 10 gallons/day per bedroom. Efficiency apartments shall be consdered to have</t>
  </si>
  <si>
    <t>zero bedrooms.</t>
  </si>
  <si>
    <t>The hot water load for schools shall be 1.8 gallons/day-occupant for high schools and</t>
  </si>
  <si>
    <t>0.6 gallons/day-occupant for other schools.</t>
  </si>
  <si>
    <t xml:space="preserve">No default is provided. </t>
  </si>
  <si>
    <t>(COMNET Plug Load )PBA Plus EPD</t>
  </si>
  <si>
    <t>Pdmisc(W/m2)</t>
  </si>
  <si>
    <t>Pdmisc(W/ft2)</t>
  </si>
  <si>
    <t>DF</t>
  </si>
  <si>
    <r>
      <t xml:space="preserve"> </t>
    </r>
    <r>
      <rPr>
        <sz val="10"/>
        <color indexed="8"/>
        <rFont val="Arial"/>
        <family val="2"/>
      </rPr>
      <t xml:space="preserve">Refrigeration </t>
    </r>
    <r>
      <rPr>
        <sz val="10"/>
        <rFont val="Arial"/>
        <family val="2"/>
      </rPr>
      <t>Power Density (W/ft2)</t>
    </r>
  </si>
  <si>
    <r>
      <t xml:space="preserve"> </t>
    </r>
    <r>
      <rPr>
        <sz val="9.9"/>
        <color indexed="8"/>
        <rFont val="Arial"/>
        <family val="2"/>
      </rPr>
      <t xml:space="preserve">Mean Power </t>
    </r>
    <r>
      <rPr>
        <sz val="11"/>
        <rFont val="Arial"/>
        <family val="2"/>
      </rPr>
      <t xml:space="preserve"> Density (w/ft2)</t>
    </r>
  </si>
  <si>
    <r>
      <t xml:space="preserve"> </t>
    </r>
    <r>
      <rPr>
        <sz val="9.9"/>
        <color indexed="8"/>
        <rFont val="Arial"/>
        <family val="2"/>
      </rPr>
      <t xml:space="preserve">Mean Power </t>
    </r>
    <r>
      <rPr>
        <sz val="11"/>
        <rFont val="Arial"/>
        <family val="2"/>
      </rPr>
      <t xml:space="preserve"> Density (Btu/h-ft2)</t>
    </r>
  </si>
  <si>
    <r>
      <rPr>
        <sz val="10"/>
        <rFont val="Arial"/>
        <family val="2"/>
      </rPr>
      <t xml:space="preserve"> </t>
    </r>
    <r>
      <rPr>
        <sz val="10"/>
        <color indexed="8"/>
        <rFont val="Arial"/>
        <family val="2"/>
      </rPr>
      <t xml:space="preserve">Standard </t>
    </r>
    <r>
      <rPr>
        <sz val="10"/>
        <rFont val="Arial"/>
        <family val="2"/>
      </rPr>
      <t xml:space="preserve"> Deviation W/ft2</t>
    </r>
  </si>
  <si>
    <r>
      <rPr>
        <sz val="10"/>
        <color indexed="8"/>
        <rFont val="Arial"/>
        <family val="2"/>
      </rPr>
      <t xml:space="preserve">Office/professional &lt; 30,000 ft2 </t>
    </r>
    <r>
      <rPr>
        <sz val="10"/>
        <rFont val="Arial"/>
        <family val="2"/>
      </rPr>
      <t xml:space="preserve"> </t>
    </r>
  </si>
  <si>
    <r>
      <rPr>
        <sz val="10"/>
        <color indexed="8"/>
        <rFont val="Arial"/>
        <family val="2"/>
      </rPr>
      <t xml:space="preserve">Office/professional &gt; 30,000 ft 2 </t>
    </r>
    <r>
      <rPr>
        <sz val="10"/>
        <rFont val="Arial"/>
        <family val="2"/>
      </rPr>
      <t xml:space="preserve"> </t>
    </r>
  </si>
  <si>
    <r>
      <rPr>
        <sz val="10"/>
        <color indexed="8"/>
        <rFont val="Arial"/>
        <family val="2"/>
      </rPr>
      <t xml:space="preserve">Food sales </t>
    </r>
    <r>
      <rPr>
        <sz val="10"/>
        <rFont val="Arial"/>
        <family val="2"/>
      </rPr>
      <t xml:space="preserve"> </t>
    </r>
  </si>
  <si>
    <r>
      <rPr>
        <sz val="10"/>
        <color indexed="8"/>
        <rFont val="Arial"/>
        <family val="2"/>
      </rPr>
      <t xml:space="preserve">Outpatient health care </t>
    </r>
    <r>
      <rPr>
        <sz val="10"/>
        <rFont val="Arial"/>
        <family val="2"/>
      </rPr>
      <t xml:space="preserve"> </t>
    </r>
  </si>
  <si>
    <t>Education (not incl. University)</t>
  </si>
  <si>
    <t xml:space="preserve">Retail (except malls) </t>
  </si>
  <si>
    <t xml:space="preserve">Service (except food) </t>
  </si>
  <si>
    <t>Mapping to NREL-956</t>
  </si>
  <si>
    <t>PBA Plus Laboratory</t>
  </si>
  <si>
    <t>Mapping to NREL41956</t>
  </si>
  <si>
    <t>Brandemuehl Comments</t>
  </si>
  <si>
    <t>Schedules Referenced on Modeling Data Tab and Contained in Appendix C</t>
  </si>
  <si>
    <t>Letter</t>
  </si>
  <si>
    <t>Examples</t>
  </si>
  <si>
    <t>Convention center, exercise center, motion picture theature, performing arts theater, religious building, sports arena</t>
  </si>
  <si>
    <t>Fire station, clinic, hospital, police station, transportation</t>
  </si>
  <si>
    <t>Hotel, motel, penitentiary</t>
  </si>
  <si>
    <t>Automotive facility, workshop, manufacturing facility</t>
  </si>
  <si>
    <t>courthouse, office, post office, town hall</t>
  </si>
  <si>
    <t>Cafeteria, fast food, family dining, bar, lounge</t>
  </si>
  <si>
    <t>Library, museum, retail</t>
  </si>
  <si>
    <t>K-12 schools, universities</t>
  </si>
  <si>
    <t>X1</t>
  </si>
  <si>
    <t>Dormatory, multifamily</t>
  </si>
  <si>
    <t>X2</t>
  </si>
  <si>
    <t>Data center</t>
  </si>
  <si>
    <t>ps</t>
  </si>
  <si>
    <t>Schedule is inherited</t>
  </si>
  <si>
    <t>Old Schedules No Longer Referenced</t>
  </si>
  <si>
    <t>C-12 CEC Nonresidential</t>
  </si>
  <si>
    <t>C-13 CEC Hotel Function</t>
  </si>
  <si>
    <t>C-14 CEC Residential (setback)</t>
  </si>
  <si>
    <t>C-15 CEC Residential (no setback)</t>
  </si>
  <si>
    <t>C-16 CEC Retail</t>
  </si>
  <si>
    <t>Building Types for Fenestration Limit</t>
  </si>
  <si>
    <t>Grocery Store</t>
  </si>
  <si>
    <t>Healthcare (outpatient)</t>
  </si>
  <si>
    <t>Hotel/motel (≤75 rooms)</t>
  </si>
  <si>
    <t>Hotel/motel (&gt;75 rooms)</t>
  </si>
  <si>
    <t>Office (≤5000 ft2)</t>
  </si>
  <si>
    <t>Office (5000 to 50,000 ft2)</t>
  </si>
  <si>
    <t>Office (&gt;50,000 ft2)</t>
  </si>
  <si>
    <t>Restaurant (quick service)</t>
  </si>
  <si>
    <t>Restaurant (full service)</t>
  </si>
  <si>
    <t>Retail (stand alone)</t>
  </si>
  <si>
    <t>Retail (strip mall)</t>
  </si>
  <si>
    <t>School (primary)</t>
  </si>
  <si>
    <t>School (secondary and university)</t>
  </si>
  <si>
    <t>Warehouse (nonrefrigerated)</t>
  </si>
  <si>
    <t>Building Types Used in HVAC Mapping</t>
  </si>
  <si>
    <t xml:space="preserve">Dormitories, hotels, motels, and multifamily buildings of four or more stories. </t>
  </si>
  <si>
    <t>Public Assembly</t>
  </si>
  <si>
    <t>Houses of worship, auditoriums, movie theaters, performance theaters, concert halls, arenas, enclosed stadiums, ice rinks, gymnasiums, convention centers, exhibition centers, and natatoriums.</t>
  </si>
  <si>
    <t>Hospitals</t>
  </si>
  <si>
    <t>Other Nonresidential</t>
  </si>
  <si>
    <t>Buildings that are not public assembly, hospitals or low rise retail</t>
  </si>
  <si>
    <t>Special Space Types used in HVAC Mapping</t>
  </si>
  <si>
    <t xml:space="preserve">Guest rooms, living quarters, private living space, and sleeping quarters (G3.1.1). </t>
  </si>
  <si>
    <t>Heated Only</t>
  </si>
  <si>
    <t xml:space="preserve">Spaces with heating only systems in the proposed design, serving storage rooms, stairwells, vestibules, electrical/mechanical rooms, and restrooms not exhausting or transferring air from mechanically cooled thermal zones. </t>
  </si>
  <si>
    <t>Laboratories</t>
  </si>
  <si>
    <t>Total laboratory exhaust rate greater than 15,000 cfm.</t>
  </si>
  <si>
    <t>Computer Rooms</t>
  </si>
  <si>
    <t>&gt; 3,000,000 Btu/h or &gt;600,000 Btu/h where the baseline building system is 7 or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</si>
</sst>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
    <numFmt numFmtId="166" formatCode="#,##0.0_);\(#,##0.0\)"/>
    <numFmt numFmtId="167" formatCode="###0;###0"/>
  </numFmts>
  <fonts count="22">
    <font>
      <sz val="10"/>
      <name val="Arial"/>
    </font>
    <font>
      <sz val="11"/>
      <color theme="1"/>
      <name val="Calibri"/>
      <family val="2"/>
      <scheme val="minor"/>
    </font>
    <font>
      <sz val="8"/>
      <name val="Arial"/>
      <family val="2"/>
    </font>
    <font>
      <b/>
      <sz val="10"/>
      <name val="Arial"/>
      <family val="2"/>
    </font>
    <font>
      <sz val="10"/>
      <name val="Arial"/>
      <family val="2"/>
    </font>
    <font>
      <b/>
      <sz val="10"/>
      <color theme="0"/>
      <name val="Arial"/>
      <family val="2"/>
    </font>
    <font>
      <sz val="10"/>
      <color theme="0"/>
      <name val="Arial"/>
      <family val="2"/>
    </font>
    <font>
      <sz val="10"/>
      <name val="Arial"/>
      <family val="2"/>
    </font>
    <font>
      <sz val="11"/>
      <name val="Calibri"/>
      <family val="2"/>
      <scheme val="minor"/>
    </font>
    <font>
      <sz val="11"/>
      <name val="Arial"/>
      <family val="2"/>
    </font>
    <font>
      <sz val="9.9"/>
      <color indexed="8"/>
      <name val="Arial"/>
      <family val="2"/>
    </font>
    <font>
      <sz val="10"/>
      <color indexed="8"/>
      <name val="Arial"/>
      <family val="2"/>
    </font>
    <font>
      <b/>
      <sz val="12"/>
      <name val="Arial"/>
      <family val="2"/>
    </font>
    <font>
      <sz val="12"/>
      <name val="Arial"/>
      <family val="2"/>
    </font>
    <font>
      <sz val="8"/>
      <color indexed="8"/>
      <name val="Arial"/>
      <family val="2"/>
    </font>
    <font>
      <u/>
      <sz val="10"/>
      <color indexed="12"/>
      <name val="Arial"/>
      <family val="2"/>
    </font>
    <font>
      <sz val="6"/>
      <name val="Arial"/>
      <family val="2"/>
    </font>
    <font>
      <sz val="9"/>
      <color indexed="81"/>
      <name val="Tahoma"/>
      <family val="2"/>
    </font>
    <font>
      <b/>
      <sz val="9"/>
      <color indexed="81"/>
      <name val="Tahoma"/>
      <family val="2"/>
    </font>
    <font>
      <i/>
      <sz val="10"/>
      <color indexed="8"/>
      <name val="Arial"/>
      <family val="2"/>
    </font>
    <font>
      <i/>
      <sz val="10"/>
      <name val="Arial"/>
      <family val="2"/>
    </font>
    <font>
      <sz val="10"/>
      <name val="Wingdings 2"/>
      <family val="1"/>
      <charset val="2"/>
    </font>
  </fonts>
  <fills count="16">
    <fill>
      <patternFill patternType="none"/>
    </fill>
    <fill>
      <patternFill patternType="gray125"/>
    </fill>
    <fill>
      <patternFill patternType="solid">
        <fgColor theme="6" tint="0.39997558519241921"/>
        <bgColor indexed="64"/>
      </patternFill>
    </fill>
    <fill>
      <patternFill patternType="solid">
        <fgColor theme="8" tint="0.79998168889431442"/>
        <bgColor indexed="64"/>
      </patternFill>
    </fill>
    <fill>
      <patternFill patternType="solid">
        <fgColor theme="1"/>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FFC000"/>
        <bgColor indexed="64"/>
      </patternFill>
    </fill>
    <fill>
      <patternFill patternType="solid">
        <fgColor rgb="FF92D050"/>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2" tint="-0.249977111117893"/>
        <bgColor indexed="64"/>
      </patternFill>
    </fill>
  </fills>
  <borders count="16">
    <border>
      <left/>
      <right/>
      <top/>
      <bottom/>
      <diagonal/>
    </border>
    <border>
      <left/>
      <right style="thin">
        <color indexed="64"/>
      </right>
      <top/>
      <bottom/>
      <diagonal/>
    </border>
    <border>
      <left style="thin">
        <color indexed="64"/>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0">
    <xf numFmtId="0" fontId="0" fillId="0" borderId="0"/>
    <xf numFmtId="164" fontId="7" fillId="0" borderId="0" applyFont="0" applyFill="0" applyBorder="0" applyAlignment="0" applyProtection="0"/>
    <xf numFmtId="0" fontId="1" fillId="0" borderId="0"/>
    <xf numFmtId="0" fontId="4" fillId="0" borderId="0"/>
    <xf numFmtId="164" fontId="4" fillId="0" borderId="0" applyFont="0" applyFill="0" applyBorder="0" applyAlignment="0" applyProtection="0"/>
    <xf numFmtId="0" fontId="7" fillId="0" borderId="0"/>
    <xf numFmtId="164" fontId="7" fillId="0" borderId="0" applyFont="0" applyFill="0" applyBorder="0" applyAlignment="0" applyProtection="0"/>
    <xf numFmtId="9" fontId="4" fillId="0" borderId="0" applyFont="0" applyFill="0" applyBorder="0" applyAlignment="0" applyProtection="0"/>
    <xf numFmtId="0" fontId="15" fillId="0" borderId="0" applyNumberFormat="0" applyFill="0" applyBorder="0" applyAlignment="0" applyProtection="0">
      <alignment vertical="top"/>
      <protection locked="0"/>
    </xf>
    <xf numFmtId="9" fontId="7" fillId="0" borderId="0" applyFont="0" applyFill="0" applyBorder="0" applyAlignment="0" applyProtection="0"/>
  </cellStyleXfs>
  <cellXfs count="305">
    <xf numFmtId="0" fontId="0" fillId="0" borderId="0" xfId="0"/>
    <xf numFmtId="0" fontId="0" fillId="0" borderId="0" xfId="0" applyAlignment="1">
      <alignment wrapText="1"/>
    </xf>
    <xf numFmtId="0" fontId="0" fillId="0" borderId="0" xfId="0" applyAlignment="1">
      <alignment horizontal="center"/>
    </xf>
    <xf numFmtId="2" fontId="0" fillId="2" borderId="0" xfId="0" applyNumberFormat="1" applyFill="1" applyAlignment="1">
      <alignment horizontal="center" wrapText="1"/>
    </xf>
    <xf numFmtId="2" fontId="0" fillId="2" borderId="0" xfId="0" applyNumberFormat="1" applyFill="1" applyAlignment="1">
      <alignment horizontal="center"/>
    </xf>
    <xf numFmtId="1" fontId="0" fillId="2" borderId="0" xfId="0" applyNumberFormat="1" applyFill="1" applyAlignment="1">
      <alignment horizontal="center" wrapText="1"/>
    </xf>
    <xf numFmtId="1" fontId="0" fillId="2" borderId="1" xfId="0" applyNumberFormat="1" applyFill="1" applyBorder="1" applyAlignment="1">
      <alignment horizontal="center" wrapText="1"/>
    </xf>
    <xf numFmtId="1" fontId="0" fillId="2" borderId="2" xfId="0" applyNumberFormat="1" applyFill="1" applyBorder="1" applyAlignment="1">
      <alignment horizontal="center" wrapText="1"/>
    </xf>
    <xf numFmtId="1" fontId="0" fillId="2" borderId="0" xfId="0" applyNumberFormat="1" applyFill="1" applyAlignment="1">
      <alignment horizontal="center"/>
    </xf>
    <xf numFmtId="0" fontId="0" fillId="2" borderId="0" xfId="0" applyFill="1" applyAlignment="1">
      <alignment wrapText="1"/>
    </xf>
    <xf numFmtId="0" fontId="0" fillId="2" borderId="0" xfId="0" applyFill="1" applyAlignment="1">
      <alignment horizontal="center" wrapText="1"/>
    </xf>
    <xf numFmtId="0" fontId="0" fillId="2" borderId="0" xfId="0" applyFill="1"/>
    <xf numFmtId="2" fontId="0" fillId="3" borderId="0" xfId="0" applyNumberFormat="1" applyFill="1" applyAlignment="1">
      <alignment horizontal="center" wrapText="1"/>
    </xf>
    <xf numFmtId="2" fontId="0" fillId="3" borderId="0" xfId="0" applyNumberFormat="1" applyFill="1" applyAlignment="1">
      <alignment horizontal="center"/>
    </xf>
    <xf numFmtId="2" fontId="0" fillId="4" borderId="0" xfId="0" applyNumberFormat="1" applyFill="1" applyAlignment="1">
      <alignment horizontal="center"/>
    </xf>
    <xf numFmtId="1" fontId="0" fillId="4" borderId="0" xfId="0" applyNumberFormat="1" applyFill="1" applyAlignment="1">
      <alignment horizontal="center"/>
    </xf>
    <xf numFmtId="0" fontId="0" fillId="4" borderId="0" xfId="0" applyFill="1"/>
    <xf numFmtId="0" fontId="5" fillId="4" borderId="0" xfId="0" applyFont="1" applyFill="1"/>
    <xf numFmtId="2" fontId="6" fillId="4" borderId="0" xfId="0" applyNumberFormat="1" applyFont="1" applyFill="1" applyAlignment="1">
      <alignment horizontal="center"/>
    </xf>
    <xf numFmtId="1" fontId="6" fillId="4" borderId="0" xfId="0" applyNumberFormat="1" applyFont="1" applyFill="1" applyAlignment="1">
      <alignment horizontal="center"/>
    </xf>
    <xf numFmtId="0" fontId="6" fillId="4" borderId="0" xfId="0" applyFont="1" applyFill="1"/>
    <xf numFmtId="0" fontId="5" fillId="4" borderId="0" xfId="0" applyFont="1" applyFill="1" applyAlignment="1">
      <alignment horizontal="left" vertical="top"/>
    </xf>
    <xf numFmtId="165" fontId="0" fillId="0" borderId="0" xfId="0" applyNumberFormat="1"/>
    <xf numFmtId="1" fontId="0" fillId="0" borderId="0" xfId="0" applyNumberFormat="1"/>
    <xf numFmtId="0" fontId="3" fillId="2" borderId="3" xfId="0" applyFont="1" applyFill="1" applyBorder="1" applyAlignment="1">
      <alignment horizontal="center"/>
    </xf>
    <xf numFmtId="0" fontId="0" fillId="0" borderId="7" xfId="0" applyBorder="1"/>
    <xf numFmtId="2" fontId="4" fillId="2" borderId="0" xfId="0" applyNumberFormat="1" applyFont="1" applyFill="1" applyAlignment="1">
      <alignment horizontal="center"/>
    </xf>
    <xf numFmtId="0" fontId="4" fillId="0" borderId="0" xfId="0" applyFont="1"/>
    <xf numFmtId="0" fontId="6" fillId="0" borderId="0" xfId="0" applyFont="1"/>
    <xf numFmtId="0" fontId="0" fillId="0" borderId="0" xfId="0" applyAlignment="1">
      <alignment vertical="top"/>
    </xf>
    <xf numFmtId="2" fontId="4" fillId="3" borderId="0" xfId="3" applyNumberFormat="1" applyFill="1" applyAlignment="1">
      <alignment horizontal="center"/>
    </xf>
    <xf numFmtId="0" fontId="1" fillId="0" borderId="0" xfId="2" applyAlignment="1">
      <alignment vertical="top"/>
    </xf>
    <xf numFmtId="2" fontId="4" fillId="2" borderId="0" xfId="3" applyNumberFormat="1" applyFill="1" applyAlignment="1">
      <alignment horizontal="left"/>
    </xf>
    <xf numFmtId="1" fontId="4" fillId="2" borderId="0" xfId="3" applyNumberFormat="1" applyFill="1" applyAlignment="1">
      <alignment horizontal="left"/>
    </xf>
    <xf numFmtId="0" fontId="4" fillId="0" borderId="0" xfId="3"/>
    <xf numFmtId="0" fontId="7" fillId="0" borderId="0" xfId="5"/>
    <xf numFmtId="0" fontId="1" fillId="0" borderId="0" xfId="2" applyAlignment="1">
      <alignment vertical="top" wrapText="1"/>
    </xf>
    <xf numFmtId="0" fontId="1" fillId="0" borderId="0" xfId="2"/>
    <xf numFmtId="0" fontId="4" fillId="0" borderId="0" xfId="2" applyFont="1"/>
    <xf numFmtId="0" fontId="8" fillId="0" borderId="0" xfId="2" applyFont="1"/>
    <xf numFmtId="164" fontId="4" fillId="0" borderId="0" xfId="4" applyFont="1"/>
    <xf numFmtId="2" fontId="8" fillId="0" borderId="0" xfId="2" applyNumberFormat="1" applyFont="1"/>
    <xf numFmtId="0" fontId="4" fillId="0" borderId="0" xfId="2" applyFont="1" applyAlignment="1">
      <alignment vertical="top" wrapText="1"/>
    </xf>
    <xf numFmtId="0" fontId="9" fillId="0" borderId="0" xfId="2" applyFont="1" applyAlignment="1">
      <alignment vertical="top" wrapText="1"/>
    </xf>
    <xf numFmtId="0" fontId="4" fillId="0" borderId="0" xfId="0" applyFont="1" applyAlignment="1">
      <alignment horizontal="right" wrapText="1"/>
    </xf>
    <xf numFmtId="0" fontId="3" fillId="0" borderId="0" xfId="0" applyFont="1"/>
    <xf numFmtId="0" fontId="4" fillId="5" borderId="0" xfId="0" applyFont="1" applyFill="1" applyAlignment="1">
      <alignment horizontal="right" wrapText="1"/>
    </xf>
    <xf numFmtId="0" fontId="0" fillId="5" borderId="0" xfId="0" applyFill="1"/>
    <xf numFmtId="2" fontId="0" fillId="0" borderId="0" xfId="0" applyNumberFormat="1"/>
    <xf numFmtId="2" fontId="3" fillId="0" borderId="0" xfId="0" applyNumberFormat="1" applyFont="1"/>
    <xf numFmtId="2" fontId="4" fillId="0" borderId="0" xfId="0" applyNumberFormat="1" applyFont="1" applyAlignment="1">
      <alignment horizontal="right" wrapText="1"/>
    </xf>
    <xf numFmtId="0" fontId="3" fillId="5" borderId="0" xfId="0" applyFont="1" applyFill="1"/>
    <xf numFmtId="3" fontId="0" fillId="5" borderId="0" xfId="0" applyNumberFormat="1" applyFill="1"/>
    <xf numFmtId="0" fontId="13" fillId="0" borderId="0" xfId="0" applyFont="1" applyAlignment="1">
      <alignment horizontal="left"/>
    </xf>
    <xf numFmtId="0" fontId="4" fillId="0" borderId="0" xfId="0" applyFont="1" applyAlignment="1">
      <alignment horizontal="left"/>
    </xf>
    <xf numFmtId="165" fontId="4" fillId="0" borderId="0" xfId="0" applyNumberFormat="1" applyFont="1"/>
    <xf numFmtId="0" fontId="4" fillId="0" borderId="0" xfId="0" applyFont="1" applyAlignment="1">
      <alignment horizontal="center"/>
    </xf>
    <xf numFmtId="0" fontId="4" fillId="0" borderId="0" xfId="0" applyFont="1" applyAlignment="1">
      <alignment horizontal="center" wrapText="1"/>
    </xf>
    <xf numFmtId="0" fontId="0" fillId="0" borderId="0" xfId="0" applyAlignment="1">
      <alignment horizontal="center" wrapText="1"/>
    </xf>
    <xf numFmtId="2" fontId="0" fillId="0" borderId="0" xfId="0" applyNumberFormat="1" applyAlignment="1">
      <alignment horizontal="center" wrapText="1"/>
    </xf>
    <xf numFmtId="2" fontId="0" fillId="0" borderId="0" xfId="0" applyNumberFormat="1" applyAlignment="1">
      <alignment horizontal="center"/>
    </xf>
    <xf numFmtId="2" fontId="4" fillId="0" borderId="0" xfId="0" applyNumberFormat="1" applyFont="1" applyAlignment="1">
      <alignment horizontal="center"/>
    </xf>
    <xf numFmtId="0" fontId="4" fillId="0" borderId="0" xfId="0" applyFont="1" applyAlignment="1">
      <alignment vertical="top"/>
    </xf>
    <xf numFmtId="0" fontId="4" fillId="0" borderId="0" xfId="0" applyFont="1" applyAlignment="1">
      <alignment horizontal="left" vertical="top"/>
    </xf>
    <xf numFmtId="0" fontId="3" fillId="0" borderId="0" xfId="0" applyFont="1" applyAlignment="1">
      <alignment vertical="top"/>
    </xf>
    <xf numFmtId="0" fontId="4" fillId="0" borderId="0" xfId="0" applyFont="1" applyAlignment="1">
      <alignment horizontal="center" vertical="top"/>
    </xf>
    <xf numFmtId="2" fontId="4" fillId="0" borderId="0" xfId="0" applyNumberFormat="1" applyFont="1" applyAlignment="1">
      <alignment horizontal="center" wrapText="1"/>
    </xf>
    <xf numFmtId="2" fontId="4" fillId="0" borderId="0" xfId="0" applyNumberFormat="1" applyFont="1" applyAlignment="1">
      <alignment horizontal="center" vertical="top"/>
    </xf>
    <xf numFmtId="2" fontId="4" fillId="0" borderId="0" xfId="8" applyNumberFormat="1" applyFont="1" applyBorder="1" applyAlignment="1" applyProtection="1">
      <alignment horizontal="center" vertical="top"/>
    </xf>
    <xf numFmtId="0" fontId="4" fillId="10" borderId="0" xfId="3" applyFill="1"/>
    <xf numFmtId="0" fontId="3" fillId="0" borderId="0" xfId="3" applyFont="1"/>
    <xf numFmtId="0" fontId="3" fillId="7" borderId="0" xfId="0" applyFont="1" applyFill="1" applyAlignment="1">
      <alignment vertical="top" textRotation="90"/>
    </xf>
    <xf numFmtId="1" fontId="4" fillId="0" borderId="0" xfId="0" applyNumberFormat="1" applyFont="1" applyAlignment="1">
      <alignment horizontal="center"/>
    </xf>
    <xf numFmtId="0" fontId="0" fillId="10" borderId="0" xfId="0" applyFill="1"/>
    <xf numFmtId="2" fontId="4" fillId="0" borderId="0" xfId="0" applyNumberFormat="1" applyFont="1" applyAlignment="1">
      <alignment horizontal="left"/>
    </xf>
    <xf numFmtId="2" fontId="0" fillId="0" borderId="0" xfId="0" applyNumberFormat="1" applyAlignment="1">
      <alignment horizontal="left"/>
    </xf>
    <xf numFmtId="0" fontId="4" fillId="0" borderId="0" xfId="0" applyFont="1" applyAlignment="1">
      <alignment wrapText="1"/>
    </xf>
    <xf numFmtId="165" fontId="0" fillId="0" borderId="0" xfId="0" applyNumberFormat="1" applyAlignment="1">
      <alignment horizontal="center"/>
    </xf>
    <xf numFmtId="165" fontId="4" fillId="0" borderId="0" xfId="0" applyNumberFormat="1" applyFont="1" applyAlignment="1">
      <alignment horizontal="center"/>
    </xf>
    <xf numFmtId="0" fontId="4" fillId="0" borderId="3" xfId="0" applyFont="1" applyBorder="1"/>
    <xf numFmtId="0" fontId="4" fillId="0" borderId="3" xfId="0" applyFont="1" applyBorder="1" applyAlignment="1">
      <alignment horizontal="center"/>
    </xf>
    <xf numFmtId="1" fontId="4" fillId="0" borderId="3" xfId="0" applyNumberFormat="1" applyFont="1" applyBorder="1" applyAlignment="1">
      <alignment horizontal="right" wrapText="1"/>
    </xf>
    <xf numFmtId="0" fontId="4" fillId="0" borderId="3" xfId="0" applyFont="1" applyBorder="1" applyAlignment="1">
      <alignment wrapText="1"/>
    </xf>
    <xf numFmtId="0" fontId="0" fillId="0" borderId="3" xfId="0" applyBorder="1"/>
    <xf numFmtId="0" fontId="0" fillId="0" borderId="0" xfId="0" applyAlignment="1">
      <alignment horizontal="left" wrapText="1"/>
    </xf>
    <xf numFmtId="0" fontId="4" fillId="0" borderId="0" xfId="0" applyFont="1" applyAlignment="1">
      <alignment horizontal="left" wrapText="1"/>
    </xf>
    <xf numFmtId="0" fontId="0" fillId="0" borderId="0" xfId="0" applyAlignment="1">
      <alignment horizontal="left"/>
    </xf>
    <xf numFmtId="0" fontId="0" fillId="7" borderId="0" xfId="0" applyFill="1" applyAlignment="1">
      <alignment horizontal="center"/>
    </xf>
    <xf numFmtId="0" fontId="0" fillId="7" borderId="0" xfId="0" applyFill="1"/>
    <xf numFmtId="0" fontId="4" fillId="7" borderId="0" xfId="0" applyFont="1" applyFill="1" applyAlignment="1">
      <alignment horizontal="center"/>
    </xf>
    <xf numFmtId="0" fontId="4" fillId="7" borderId="0" xfId="0" applyFont="1" applyFill="1"/>
    <xf numFmtId="0" fontId="0" fillId="7" borderId="0" xfId="0" applyFill="1" applyAlignment="1">
      <alignment horizontal="left"/>
    </xf>
    <xf numFmtId="0" fontId="4" fillId="7" borderId="0" xfId="0" applyFont="1" applyFill="1" applyAlignment="1">
      <alignment horizontal="left"/>
    </xf>
    <xf numFmtId="0" fontId="3" fillId="7" borderId="0" xfId="0" applyFont="1" applyFill="1"/>
    <xf numFmtId="2" fontId="0" fillId="12" borderId="0" xfId="0" applyNumberFormat="1" applyFill="1"/>
    <xf numFmtId="0" fontId="0" fillId="12" borderId="0" xfId="0" applyFill="1"/>
    <xf numFmtId="2" fontId="4" fillId="5" borderId="3" xfId="0" applyNumberFormat="1" applyFont="1" applyFill="1" applyBorder="1" applyAlignment="1">
      <alignment horizontal="right" wrapText="1"/>
    </xf>
    <xf numFmtId="2" fontId="4" fillId="5" borderId="3" xfId="1" applyNumberFormat="1" applyFont="1" applyFill="1" applyBorder="1" applyAlignment="1">
      <alignment horizontal="right" wrapText="1"/>
    </xf>
    <xf numFmtId="0" fontId="4" fillId="5" borderId="3" xfId="0" applyFont="1" applyFill="1" applyBorder="1" applyAlignment="1">
      <alignment horizontal="right" wrapText="1"/>
    </xf>
    <xf numFmtId="39" fontId="4" fillId="5" borderId="3" xfId="1" applyNumberFormat="1" applyFont="1" applyFill="1" applyBorder="1" applyAlignment="1">
      <alignment horizontal="right"/>
    </xf>
    <xf numFmtId="0" fontId="4" fillId="5" borderId="3" xfId="0" applyFont="1" applyFill="1" applyBorder="1" applyAlignment="1">
      <alignment horizontal="right"/>
    </xf>
    <xf numFmtId="2" fontId="0" fillId="5" borderId="0" xfId="0" applyNumberFormat="1" applyFill="1" applyAlignment="1">
      <alignment horizontal="right"/>
    </xf>
    <xf numFmtId="2" fontId="0" fillId="5" borderId="0" xfId="0" applyNumberFormat="1" applyFill="1"/>
    <xf numFmtId="2" fontId="0" fillId="5" borderId="0" xfId="4" applyNumberFormat="1" applyFont="1" applyFill="1"/>
    <xf numFmtId="166" fontId="0" fillId="5" borderId="0" xfId="1" applyNumberFormat="1" applyFont="1" applyFill="1"/>
    <xf numFmtId="166" fontId="0" fillId="5" borderId="0" xfId="0" applyNumberFormat="1" applyFill="1"/>
    <xf numFmtId="2" fontId="4" fillId="5" borderId="0" xfId="0" applyNumberFormat="1" applyFont="1" applyFill="1" applyAlignment="1">
      <alignment horizontal="right"/>
    </xf>
    <xf numFmtId="164" fontId="0" fillId="5" borderId="0" xfId="4" applyFont="1" applyFill="1" applyAlignment="1">
      <alignment horizontal="right"/>
    </xf>
    <xf numFmtId="2" fontId="0" fillId="5" borderId="0" xfId="4" applyNumberFormat="1" applyFont="1" applyFill="1" applyAlignment="1">
      <alignment horizontal="right"/>
    </xf>
    <xf numFmtId="39" fontId="0" fillId="5" borderId="0" xfId="1" applyNumberFormat="1" applyFont="1" applyFill="1"/>
    <xf numFmtId="2" fontId="0" fillId="5" borderId="0" xfId="1" applyNumberFormat="1" applyFont="1" applyFill="1" applyAlignment="1">
      <alignment horizontal="right"/>
    </xf>
    <xf numFmtId="2" fontId="0" fillId="5" borderId="0" xfId="1" applyNumberFormat="1" applyFont="1" applyFill="1"/>
    <xf numFmtId="0" fontId="4" fillId="5" borderId="0" xfId="0" applyFont="1" applyFill="1"/>
    <xf numFmtId="0" fontId="4" fillId="8" borderId="3" xfId="0" applyFont="1" applyFill="1" applyBorder="1" applyAlignment="1">
      <alignment horizontal="left" wrapText="1"/>
    </xf>
    <xf numFmtId="2" fontId="4" fillId="8" borderId="3" xfId="0" applyNumberFormat="1" applyFont="1" applyFill="1" applyBorder="1" applyAlignment="1">
      <alignment horizontal="center" wrapText="1"/>
    </xf>
    <xf numFmtId="0" fontId="4" fillId="8" borderId="3" xfId="0" applyFont="1" applyFill="1" applyBorder="1" applyAlignment="1">
      <alignment horizontal="center" wrapText="1"/>
    </xf>
    <xf numFmtId="166" fontId="0" fillId="8" borderId="0" xfId="1" applyNumberFormat="1" applyFont="1" applyFill="1"/>
    <xf numFmtId="166" fontId="0" fillId="8" borderId="0" xfId="1" applyNumberFormat="1" applyFont="1" applyFill="1" applyAlignment="1">
      <alignment horizontal="center"/>
    </xf>
    <xf numFmtId="166" fontId="0" fillId="8" borderId="0" xfId="0" applyNumberFormat="1" applyFill="1"/>
    <xf numFmtId="0" fontId="0" fillId="8" borderId="0" xfId="0" applyFill="1"/>
    <xf numFmtId="0" fontId="4" fillId="8" borderId="0" xfId="0" applyFont="1" applyFill="1"/>
    <xf numFmtId="0" fontId="3" fillId="0" borderId="0" xfId="0" applyFont="1" applyAlignment="1">
      <alignment wrapText="1"/>
    </xf>
    <xf numFmtId="0" fontId="3" fillId="7" borderId="0" xfId="0" applyFont="1" applyFill="1" applyAlignment="1">
      <alignment horizontal="left"/>
    </xf>
    <xf numFmtId="1" fontId="3" fillId="0" borderId="0" xfId="0" applyNumberFormat="1" applyFont="1" applyAlignment="1">
      <alignment horizontal="center" wrapText="1"/>
    </xf>
    <xf numFmtId="0" fontId="3" fillId="7" borderId="0" xfId="0" applyFont="1" applyFill="1" applyAlignment="1">
      <alignment wrapText="1"/>
    </xf>
    <xf numFmtId="0" fontId="3" fillId="0" borderId="0" xfId="0" applyFont="1" applyAlignment="1">
      <alignment horizontal="center" wrapText="1"/>
    </xf>
    <xf numFmtId="2" fontId="3" fillId="0" borderId="0" xfId="0" applyNumberFormat="1" applyFont="1" applyAlignment="1">
      <alignment horizontal="center" wrapText="1"/>
    </xf>
    <xf numFmtId="0" fontId="3" fillId="0" borderId="0" xfId="0" applyFont="1" applyAlignment="1">
      <alignment horizontal="left"/>
    </xf>
    <xf numFmtId="0" fontId="4" fillId="8" borderId="0" xfId="0" applyFont="1" applyFill="1" applyAlignment="1">
      <alignment horizontal="right" wrapText="1"/>
    </xf>
    <xf numFmtId="0" fontId="4" fillId="12" borderId="0" xfId="0" applyFont="1" applyFill="1" applyAlignment="1">
      <alignment horizontal="right" wrapText="1"/>
    </xf>
    <xf numFmtId="2" fontId="0" fillId="8" borderId="0" xfId="0" applyNumberFormat="1" applyFill="1"/>
    <xf numFmtId="0" fontId="4" fillId="0" borderId="3" xfId="0" applyFont="1" applyBorder="1" applyAlignment="1">
      <alignment horizontal="left"/>
    </xf>
    <xf numFmtId="0" fontId="0" fillId="2" borderId="0" xfId="0" applyFill="1" applyAlignment="1">
      <alignment horizontal="left" wrapText="1"/>
    </xf>
    <xf numFmtId="2" fontId="0" fillId="3" borderId="2" xfId="0" applyNumberFormat="1" applyFill="1" applyBorder="1" applyAlignment="1">
      <alignment horizontal="center" wrapText="1"/>
    </xf>
    <xf numFmtId="2" fontId="4" fillId="3" borderId="0" xfId="0" applyNumberFormat="1" applyFont="1" applyFill="1" applyAlignment="1">
      <alignment horizontal="center"/>
    </xf>
    <xf numFmtId="1" fontId="4" fillId="2" borderId="0" xfId="0" applyNumberFormat="1" applyFont="1" applyFill="1" applyAlignment="1">
      <alignment horizontal="center"/>
    </xf>
    <xf numFmtId="2" fontId="0" fillId="3" borderId="1" xfId="0" applyNumberFormat="1" applyFill="1" applyBorder="1" applyAlignment="1">
      <alignment horizontal="center" wrapText="1"/>
    </xf>
    <xf numFmtId="0" fontId="4" fillId="12" borderId="0" xfId="0" applyFont="1" applyFill="1"/>
    <xf numFmtId="0" fontId="12" fillId="0" borderId="0" xfId="0" applyFont="1" applyAlignment="1">
      <alignment horizontal="left"/>
    </xf>
    <xf numFmtId="165" fontId="3" fillId="0" borderId="0" xfId="0" applyNumberFormat="1" applyFont="1" applyAlignment="1">
      <alignment horizontal="center"/>
    </xf>
    <xf numFmtId="165" fontId="0" fillId="0" borderId="0" xfId="4" applyNumberFormat="1" applyFont="1" applyAlignment="1">
      <alignment horizontal="center"/>
    </xf>
    <xf numFmtId="165" fontId="0" fillId="0" borderId="0" xfId="4" applyNumberFormat="1" applyFont="1" applyBorder="1" applyAlignment="1">
      <alignment horizontal="center"/>
    </xf>
    <xf numFmtId="15" fontId="0" fillId="0" borderId="0" xfId="0" applyNumberFormat="1" applyAlignment="1">
      <alignment horizontal="left"/>
    </xf>
    <xf numFmtId="0" fontId="4" fillId="5" borderId="0" xfId="0" applyFont="1" applyFill="1" applyAlignment="1">
      <alignment horizontal="left"/>
    </xf>
    <xf numFmtId="0" fontId="4" fillId="8" borderId="0" xfId="0" applyFont="1" applyFill="1" applyAlignment="1">
      <alignment horizontal="left"/>
    </xf>
    <xf numFmtId="0" fontId="0" fillId="0" borderId="8" xfId="0" applyBorder="1"/>
    <xf numFmtId="0" fontId="0" fillId="0" borderId="9" xfId="0" applyBorder="1"/>
    <xf numFmtId="0" fontId="0" fillId="0" borderId="10" xfId="0" applyBorder="1"/>
    <xf numFmtId="0" fontId="0" fillId="0" borderId="11" xfId="0" applyBorder="1"/>
    <xf numFmtId="0" fontId="4" fillId="0" borderId="11" xfId="0" applyFont="1" applyBorder="1"/>
    <xf numFmtId="0" fontId="0" fillId="10" borderId="10" xfId="0" applyFill="1" applyBorder="1"/>
    <xf numFmtId="0" fontId="4" fillId="10" borderId="10" xfId="3" applyFill="1" applyBorder="1"/>
    <xf numFmtId="0" fontId="4" fillId="0" borderId="10" xfId="3" applyBorder="1"/>
    <xf numFmtId="0" fontId="4" fillId="0" borderId="11" xfId="3" applyBorder="1"/>
    <xf numFmtId="0" fontId="4" fillId="0" borderId="12" xfId="3" applyBorder="1"/>
    <xf numFmtId="0" fontId="4" fillId="0" borderId="13" xfId="3" applyBorder="1"/>
    <xf numFmtId="0" fontId="3" fillId="2" borderId="0" xfId="0" applyFont="1" applyFill="1" applyAlignment="1">
      <alignment horizontal="center" wrapText="1"/>
    </xf>
    <xf numFmtId="1" fontId="4" fillId="2" borderId="0" xfId="0" applyNumberFormat="1" applyFont="1" applyFill="1" applyAlignment="1">
      <alignment horizontal="center" wrapText="1"/>
    </xf>
    <xf numFmtId="2" fontId="4" fillId="2" borderId="0" xfId="0" applyNumberFormat="1" applyFont="1" applyFill="1" applyAlignment="1">
      <alignment horizontal="center" wrapText="1"/>
    </xf>
    <xf numFmtId="2" fontId="4" fillId="3" borderId="0" xfId="0" applyNumberFormat="1" applyFont="1" applyFill="1" applyAlignment="1">
      <alignment horizontal="center" wrapText="1"/>
    </xf>
    <xf numFmtId="9" fontId="4" fillId="0" borderId="0" xfId="9" applyFont="1" applyFill="1" applyAlignment="1">
      <alignment horizontal="center"/>
    </xf>
    <xf numFmtId="9" fontId="3" fillId="0" borderId="0" xfId="9" applyFont="1" applyFill="1" applyAlignment="1">
      <alignment horizontal="center" wrapText="1"/>
    </xf>
    <xf numFmtId="9" fontId="0" fillId="0" borderId="0" xfId="9" applyFont="1"/>
    <xf numFmtId="9" fontId="0" fillId="0" borderId="0" xfId="9" applyFont="1" applyFill="1"/>
    <xf numFmtId="0" fontId="0" fillId="0" borderId="0" xfId="0" applyAlignment="1">
      <alignment horizontal="center" vertical="top"/>
    </xf>
    <xf numFmtId="9" fontId="0" fillId="4" borderId="0" xfId="9" applyFont="1" applyFill="1" applyAlignment="1">
      <alignment horizontal="center"/>
    </xf>
    <xf numFmtId="9" fontId="6" fillId="4" borderId="0" xfId="9" applyFont="1" applyFill="1" applyAlignment="1">
      <alignment horizontal="center"/>
    </xf>
    <xf numFmtId="9" fontId="0" fillId="3" borderId="0" xfId="9" applyFont="1" applyFill="1" applyAlignment="1">
      <alignment horizontal="center"/>
    </xf>
    <xf numFmtId="9" fontId="4" fillId="3" borderId="0" xfId="9" applyFont="1" applyFill="1" applyBorder="1" applyAlignment="1">
      <alignment horizontal="center" wrapText="1"/>
    </xf>
    <xf numFmtId="9" fontId="4" fillId="3" borderId="0" xfId="9" applyFont="1" applyFill="1" applyAlignment="1">
      <alignment horizontal="center"/>
    </xf>
    <xf numFmtId="1" fontId="0" fillId="3" borderId="0" xfId="0" applyNumberFormat="1" applyFill="1" applyAlignment="1">
      <alignment horizontal="center" wrapText="1"/>
    </xf>
    <xf numFmtId="1" fontId="0" fillId="3" borderId="0" xfId="0" applyNumberFormat="1" applyFill="1" applyAlignment="1">
      <alignment horizontal="center"/>
    </xf>
    <xf numFmtId="1" fontId="4" fillId="3" borderId="0" xfId="0" applyNumberFormat="1" applyFont="1" applyFill="1" applyAlignment="1">
      <alignment horizontal="center"/>
    </xf>
    <xf numFmtId="1" fontId="0" fillId="13" borderId="0" xfId="0" applyNumberFormat="1" applyFill="1" applyAlignment="1">
      <alignment horizontal="center" wrapText="1"/>
    </xf>
    <xf numFmtId="0" fontId="3" fillId="3" borderId="0" xfId="0" applyFont="1" applyFill="1" applyAlignment="1">
      <alignment horizontal="center" wrapText="1"/>
    </xf>
    <xf numFmtId="0" fontId="0" fillId="3" borderId="0" xfId="0" applyFill="1" applyAlignment="1">
      <alignment wrapText="1"/>
    </xf>
    <xf numFmtId="0" fontId="0" fillId="3" borderId="0" xfId="0" applyFill="1"/>
    <xf numFmtId="2" fontId="4" fillId="3" borderId="0" xfId="3" applyNumberFormat="1" applyFill="1" applyAlignment="1">
      <alignment horizontal="left"/>
    </xf>
    <xf numFmtId="39" fontId="0" fillId="5" borderId="0" xfId="0" applyNumberFormat="1" applyFill="1"/>
    <xf numFmtId="0" fontId="11" fillId="0" borderId="0" xfId="0" applyFont="1" applyAlignment="1">
      <alignment vertical="top"/>
    </xf>
    <xf numFmtId="0" fontId="11" fillId="0" borderId="0" xfId="0" applyFont="1" applyAlignment="1">
      <alignment horizontal="center" vertical="top"/>
    </xf>
    <xf numFmtId="39" fontId="11" fillId="0" borderId="0" xfId="1" applyNumberFormat="1" applyFont="1" applyFill="1" applyBorder="1" applyAlignment="1">
      <alignment horizontal="center" vertical="top"/>
    </xf>
    <xf numFmtId="2" fontId="11" fillId="0" borderId="0" xfId="0" applyNumberFormat="1" applyFont="1" applyAlignment="1">
      <alignment horizontal="center" vertical="top"/>
    </xf>
    <xf numFmtId="167" fontId="11" fillId="0" borderId="0" xfId="0" applyNumberFormat="1" applyFont="1" applyAlignment="1">
      <alignment horizontal="center" vertical="top"/>
    </xf>
    <xf numFmtId="0" fontId="11" fillId="0" borderId="0" xfId="0" applyFont="1" applyAlignment="1">
      <alignment horizontal="center" vertical="center"/>
    </xf>
    <xf numFmtId="39" fontId="11" fillId="0" borderId="0" xfId="1" applyNumberFormat="1" applyFont="1" applyFill="1" applyBorder="1" applyAlignment="1">
      <alignment horizontal="center" vertical="center"/>
    </xf>
    <xf numFmtId="2" fontId="11" fillId="0" borderId="0" xfId="0" applyNumberFormat="1" applyFont="1" applyAlignment="1">
      <alignment horizontal="center" vertical="center"/>
    </xf>
    <xf numFmtId="167" fontId="11" fillId="0" borderId="0" xfId="0" applyNumberFormat="1" applyFont="1" applyAlignment="1">
      <alignment horizontal="center" vertical="center"/>
    </xf>
    <xf numFmtId="0" fontId="4" fillId="3" borderId="0" xfId="0" applyFont="1" applyFill="1" applyAlignment="1">
      <alignment horizontal="left" wrapText="1"/>
    </xf>
    <xf numFmtId="0" fontId="0" fillId="4" borderId="0" xfId="0" applyFill="1" applyAlignment="1">
      <alignment horizontal="center"/>
    </xf>
    <xf numFmtId="0" fontId="6" fillId="4" borderId="0" xfId="0" applyFont="1" applyFill="1" applyAlignment="1">
      <alignment horizontal="center"/>
    </xf>
    <xf numFmtId="0" fontId="4" fillId="0" borderId="14" xfId="0" applyFont="1" applyBorder="1"/>
    <xf numFmtId="0" fontId="4" fillId="0" borderId="15" xfId="0" applyFont="1" applyBorder="1"/>
    <xf numFmtId="0" fontId="4" fillId="3" borderId="0" xfId="0" applyFont="1" applyFill="1" applyAlignment="1">
      <alignment horizontal="center" wrapText="1"/>
    </xf>
    <xf numFmtId="0" fontId="0" fillId="3" borderId="0" xfId="0" applyFill="1" applyAlignment="1">
      <alignment horizontal="center"/>
    </xf>
    <xf numFmtId="0" fontId="19" fillId="0" borderId="3" xfId="0" applyFont="1" applyBorder="1" applyAlignment="1">
      <alignment wrapText="1"/>
    </xf>
    <xf numFmtId="0" fontId="19" fillId="0" borderId="3" xfId="0" applyFont="1" applyBorder="1" applyAlignment="1">
      <alignment horizontal="center" wrapText="1"/>
    </xf>
    <xf numFmtId="39" fontId="19" fillId="0" borderId="3" xfId="1" applyNumberFormat="1" applyFont="1" applyFill="1" applyBorder="1" applyAlignment="1">
      <alignment horizontal="center" wrapText="1"/>
    </xf>
    <xf numFmtId="2" fontId="19" fillId="0" borderId="3" xfId="0" applyNumberFormat="1" applyFont="1" applyBorder="1" applyAlignment="1">
      <alignment horizontal="center" wrapText="1"/>
    </xf>
    <xf numFmtId="0" fontId="20" fillId="0" borderId="3" xfId="0" applyFont="1" applyBorder="1" applyAlignment="1">
      <alignment wrapText="1"/>
    </xf>
    <xf numFmtId="0" fontId="20" fillId="0" borderId="3" xfId="0" applyFont="1" applyBorder="1" applyAlignment="1">
      <alignment horizontal="left" wrapText="1"/>
    </xf>
    <xf numFmtId="0" fontId="11" fillId="3" borderId="0" xfId="0" applyFont="1" applyFill="1" applyAlignment="1">
      <alignment vertical="top"/>
    </xf>
    <xf numFmtId="0" fontId="11" fillId="3" borderId="0" xfId="0" applyFont="1" applyFill="1" applyAlignment="1">
      <alignment horizontal="center" vertical="top"/>
    </xf>
    <xf numFmtId="39" fontId="11" fillId="3" borderId="0" xfId="1" applyNumberFormat="1" applyFont="1" applyFill="1" applyBorder="1" applyAlignment="1">
      <alignment horizontal="center" vertical="top"/>
    </xf>
    <xf numFmtId="2" fontId="11" fillId="3" borderId="0" xfId="0" applyNumberFormat="1" applyFont="1" applyFill="1" applyAlignment="1">
      <alignment horizontal="center" vertical="top"/>
    </xf>
    <xf numFmtId="167" fontId="11" fillId="3" borderId="0" xfId="0" applyNumberFormat="1" applyFont="1" applyFill="1" applyAlignment="1">
      <alignment horizontal="center" vertical="top"/>
    </xf>
    <xf numFmtId="0" fontId="4" fillId="3" borderId="0" xfId="0" applyFont="1" applyFill="1"/>
    <xf numFmtId="0" fontId="4" fillId="3" borderId="0" xfId="0" applyFont="1" applyFill="1" applyAlignment="1">
      <alignment horizontal="left"/>
    </xf>
    <xf numFmtId="0" fontId="11" fillId="3" borderId="0" xfId="0" applyFont="1" applyFill="1" applyAlignment="1">
      <alignment horizontal="left" vertical="top"/>
    </xf>
    <xf numFmtId="0" fontId="0" fillId="3" borderId="0" xfId="0" applyFill="1" applyAlignment="1">
      <alignment horizontal="center" wrapText="1"/>
    </xf>
    <xf numFmtId="9" fontId="4" fillId="0" borderId="0" xfId="9" applyFont="1" applyFill="1" applyBorder="1" applyAlignment="1">
      <alignment horizontal="center"/>
    </xf>
    <xf numFmtId="0" fontId="4" fillId="3" borderId="0" xfId="0" applyFont="1" applyFill="1" applyAlignment="1">
      <alignment wrapText="1"/>
    </xf>
    <xf numFmtId="0" fontId="4" fillId="0" borderId="7" xfId="0" applyFont="1" applyBorder="1"/>
    <xf numFmtId="2" fontId="4" fillId="2" borderId="7" xfId="0" applyNumberFormat="1" applyFont="1" applyFill="1" applyBorder="1" applyAlignment="1">
      <alignment horizontal="center"/>
    </xf>
    <xf numFmtId="2" fontId="4" fillId="3" borderId="7" xfId="0" applyNumberFormat="1" applyFont="1" applyFill="1" applyBorder="1" applyAlignment="1">
      <alignment horizontal="center"/>
    </xf>
    <xf numFmtId="9" fontId="4" fillId="3" borderId="7" xfId="9" applyFont="1" applyFill="1" applyBorder="1" applyAlignment="1">
      <alignment horizontal="center"/>
    </xf>
    <xf numFmtId="1" fontId="4" fillId="2" borderId="7" xfId="0" applyNumberFormat="1" applyFont="1" applyFill="1" applyBorder="1" applyAlignment="1">
      <alignment horizontal="center"/>
    </xf>
    <xf numFmtId="1" fontId="4" fillId="3" borderId="7" xfId="0" applyNumberFormat="1" applyFont="1" applyFill="1" applyBorder="1" applyAlignment="1">
      <alignment horizontal="center"/>
    </xf>
    <xf numFmtId="2" fontId="4" fillId="2" borderId="7" xfId="3" applyNumberFormat="1" applyFill="1" applyBorder="1" applyAlignment="1">
      <alignment horizontal="left"/>
    </xf>
    <xf numFmtId="2" fontId="4" fillId="3" borderId="7" xfId="3" applyNumberFormat="1" applyFill="1" applyBorder="1" applyAlignment="1">
      <alignment horizontal="left"/>
    </xf>
    <xf numFmtId="0" fontId="0" fillId="3" borderId="7" xfId="0" applyFill="1" applyBorder="1"/>
    <xf numFmtId="0" fontId="0" fillId="3" borderId="7" xfId="0" applyFill="1" applyBorder="1" applyAlignment="1">
      <alignment horizontal="center"/>
    </xf>
    <xf numFmtId="0" fontId="4" fillId="0" borderId="0" xfId="0" applyFont="1" applyAlignment="1">
      <alignment vertical="center"/>
    </xf>
    <xf numFmtId="0" fontId="4" fillId="0" borderId="7" xfId="3" applyBorder="1"/>
    <xf numFmtId="0" fontId="4" fillId="0" borderId="0" xfId="0" applyFont="1" applyAlignment="1">
      <alignment horizontal="right"/>
    </xf>
    <xf numFmtId="0" fontId="0" fillId="8" borderId="0" xfId="0" applyFill="1" applyAlignment="1">
      <alignment horizontal="center"/>
    </xf>
    <xf numFmtId="0" fontId="0" fillId="5" borderId="0" xfId="0" applyFill="1" applyAlignment="1">
      <alignment horizontal="right"/>
    </xf>
    <xf numFmtId="39" fontId="0" fillId="5" borderId="0" xfId="1" applyNumberFormat="1" applyFont="1" applyFill="1" applyAlignment="1">
      <alignment horizontal="right"/>
    </xf>
    <xf numFmtId="1" fontId="0" fillId="0" borderId="0" xfId="0" applyNumberFormat="1" applyAlignment="1">
      <alignment horizontal="right"/>
    </xf>
    <xf numFmtId="0" fontId="21" fillId="0" borderId="0" xfId="0" applyFont="1" applyAlignment="1">
      <alignment horizontal="center"/>
    </xf>
    <xf numFmtId="2" fontId="4" fillId="15" borderId="0" xfId="0" applyNumberFormat="1" applyFont="1" applyFill="1" applyAlignment="1">
      <alignment horizontal="center" wrapText="1"/>
    </xf>
    <xf numFmtId="2" fontId="4" fillId="15" borderId="0" xfId="0" applyNumberFormat="1" applyFont="1" applyFill="1" applyAlignment="1">
      <alignment horizontal="center"/>
    </xf>
    <xf numFmtId="2" fontId="4" fillId="15" borderId="7" xfId="0" applyNumberFormat="1" applyFont="1" applyFill="1" applyBorder="1" applyAlignment="1">
      <alignment horizontal="center"/>
    </xf>
    <xf numFmtId="1" fontId="0" fillId="15" borderId="0" xfId="0" applyNumberFormat="1" applyFill="1" applyAlignment="1">
      <alignment horizontal="center" wrapText="1"/>
    </xf>
    <xf numFmtId="1" fontId="4" fillId="15" borderId="0" xfId="0" applyNumberFormat="1" applyFont="1" applyFill="1" applyAlignment="1">
      <alignment horizontal="center" wrapText="1"/>
    </xf>
    <xf numFmtId="1" fontId="4" fillId="15" borderId="0" xfId="0" applyNumberFormat="1" applyFont="1" applyFill="1" applyAlignment="1">
      <alignment horizontal="center"/>
    </xf>
    <xf numFmtId="1" fontId="4" fillId="15" borderId="7" xfId="0" applyNumberFormat="1" applyFont="1" applyFill="1" applyBorder="1" applyAlignment="1">
      <alignment horizontal="center"/>
    </xf>
    <xf numFmtId="1" fontId="3" fillId="15" borderId="0" xfId="0" applyNumberFormat="1" applyFont="1" applyFill="1" applyAlignment="1">
      <alignment horizontal="center" vertical="top"/>
    </xf>
    <xf numFmtId="2" fontId="3" fillId="2" borderId="0" xfId="0" applyNumberFormat="1" applyFont="1" applyFill="1" applyAlignment="1">
      <alignment horizontal="center" vertical="top"/>
    </xf>
    <xf numFmtId="0" fontId="3" fillId="3" borderId="0" xfId="0" applyFont="1" applyFill="1" applyAlignment="1">
      <alignment horizontal="center" vertical="top"/>
    </xf>
    <xf numFmtId="0" fontId="3" fillId="2" borderId="3" xfId="0" applyFont="1" applyFill="1" applyBorder="1" applyAlignment="1">
      <alignment horizontal="center"/>
    </xf>
    <xf numFmtId="1" fontId="0" fillId="2" borderId="4" xfId="0" applyNumberFormat="1" applyFill="1" applyBorder="1" applyAlignment="1">
      <alignment horizontal="center" wrapText="1"/>
    </xf>
    <xf numFmtId="1" fontId="0" fillId="2" borderId="6" xfId="0" applyNumberFormat="1" applyFill="1" applyBorder="1" applyAlignment="1">
      <alignment horizontal="center" wrapText="1"/>
    </xf>
    <xf numFmtId="0" fontId="3" fillId="3" borderId="3" xfId="0" applyFont="1" applyFill="1" applyBorder="1" applyAlignment="1">
      <alignment horizontal="center"/>
    </xf>
    <xf numFmtId="0" fontId="0" fillId="3" borderId="0" xfId="0" applyFill="1" applyAlignment="1">
      <alignment horizontal="center" wrapText="1"/>
    </xf>
    <xf numFmtId="2" fontId="0" fillId="3" borderId="4" xfId="0" applyNumberFormat="1" applyFill="1" applyBorder="1" applyAlignment="1">
      <alignment horizontal="center" wrapText="1"/>
    </xf>
    <xf numFmtId="2" fontId="3" fillId="3" borderId="3" xfId="0" applyNumberFormat="1" applyFont="1" applyFill="1" applyBorder="1" applyAlignment="1">
      <alignment horizontal="center"/>
    </xf>
    <xf numFmtId="0" fontId="0" fillId="3" borderId="6" xfId="0" applyFill="1" applyBorder="1" applyAlignment="1">
      <alignment horizontal="center" wrapText="1"/>
    </xf>
    <xf numFmtId="0" fontId="0" fillId="3" borderId="4" xfId="0" applyFill="1" applyBorder="1" applyAlignment="1">
      <alignment horizontal="center" wrapText="1"/>
    </xf>
    <xf numFmtId="0" fontId="0" fillId="2" borderId="4" xfId="0" applyFill="1" applyBorder="1" applyAlignment="1">
      <alignment horizontal="center" wrapText="1"/>
    </xf>
    <xf numFmtId="2" fontId="0" fillId="2" borderId="0" xfId="0" applyNumberFormat="1" applyFill="1" applyAlignment="1">
      <alignment horizontal="center" wrapText="1"/>
    </xf>
    <xf numFmtId="0" fontId="0" fillId="2" borderId="0" xfId="0" applyFill="1" applyAlignment="1">
      <alignment horizontal="center" wrapText="1"/>
    </xf>
    <xf numFmtId="1" fontId="3" fillId="15" borderId="0" xfId="0" applyNumberFormat="1" applyFont="1" applyFill="1" applyAlignment="1">
      <alignment horizontal="center" vertical="top"/>
    </xf>
    <xf numFmtId="0" fontId="3" fillId="2" borderId="0" xfId="0" applyFont="1" applyFill="1" applyAlignment="1">
      <alignment horizontal="center" vertical="top"/>
    </xf>
    <xf numFmtId="0" fontId="3" fillId="3" borderId="0" xfId="0" applyFont="1" applyFill="1" applyAlignment="1">
      <alignment horizontal="center" vertical="top" wrapText="1"/>
    </xf>
    <xf numFmtId="0" fontId="0" fillId="0" borderId="0" xfId="0" applyAlignment="1">
      <alignment horizontal="center" wrapText="1"/>
    </xf>
    <xf numFmtId="0" fontId="4" fillId="3" borderId="0" xfId="0" applyFont="1" applyFill="1" applyAlignment="1">
      <alignment horizontal="center" wrapText="1"/>
    </xf>
    <xf numFmtId="0" fontId="3" fillId="0" borderId="0" xfId="0" applyFont="1" applyAlignment="1">
      <alignment horizontal="center" vertical="top" wrapText="1"/>
    </xf>
    <xf numFmtId="0" fontId="4" fillId="15" borderId="0" xfId="0" applyFont="1" applyFill="1" applyAlignment="1">
      <alignment horizontal="center" wrapText="1"/>
    </xf>
    <xf numFmtId="0" fontId="0" fillId="15" borderId="0" xfId="0" applyFill="1" applyAlignment="1">
      <alignment horizontal="center" wrapText="1"/>
    </xf>
    <xf numFmtId="0" fontId="3" fillId="2" borderId="0" xfId="0" applyFont="1" applyFill="1" applyAlignment="1">
      <alignment horizontal="center" vertical="top" wrapText="1"/>
    </xf>
    <xf numFmtId="0" fontId="0" fillId="2" borderId="0" xfId="0" applyFill="1" applyAlignment="1">
      <alignment horizontal="center" vertical="top" wrapText="1"/>
    </xf>
    <xf numFmtId="2" fontId="3" fillId="2" borderId="0" xfId="0" applyNumberFormat="1" applyFont="1" applyFill="1" applyAlignment="1">
      <alignment horizontal="center" vertical="top"/>
    </xf>
    <xf numFmtId="0" fontId="0" fillId="0" borderId="0" xfId="0" applyAlignment="1">
      <alignment horizontal="center" vertical="top"/>
    </xf>
    <xf numFmtId="0" fontId="0" fillId="0" borderId="0" xfId="0" applyAlignment="1">
      <alignment wrapText="1"/>
    </xf>
    <xf numFmtId="0" fontId="3" fillId="3" borderId="0" xfId="0" applyFont="1" applyFill="1" applyAlignment="1">
      <alignment horizontal="center" vertical="top"/>
    </xf>
    <xf numFmtId="0" fontId="3" fillId="14" borderId="0" xfId="0" applyFont="1" applyFill="1" applyAlignment="1">
      <alignment horizontal="center" vertical="center" textRotation="90"/>
    </xf>
    <xf numFmtId="0" fontId="0" fillId="14" borderId="0" xfId="0" applyFill="1" applyAlignment="1">
      <alignment horizontal="center" vertical="center" textRotation="90"/>
    </xf>
    <xf numFmtId="0" fontId="3" fillId="12" borderId="0" xfId="0" applyFont="1" applyFill="1" applyAlignment="1">
      <alignment horizontal="center" vertical="center" textRotation="90"/>
    </xf>
    <xf numFmtId="0" fontId="3" fillId="7" borderId="0" xfId="0" applyFont="1" applyFill="1" applyAlignment="1">
      <alignment horizontal="center" vertical="center" textRotation="90"/>
    </xf>
    <xf numFmtId="0" fontId="3" fillId="7" borderId="0" xfId="0" applyFont="1" applyFill="1" applyAlignment="1">
      <alignment horizontal="left" wrapText="1"/>
    </xf>
    <xf numFmtId="0" fontId="3" fillId="7" borderId="0" xfId="0" applyFont="1" applyFill="1" applyAlignment="1">
      <alignment vertical="top" textRotation="90"/>
    </xf>
    <xf numFmtId="0" fontId="3" fillId="2" borderId="0" xfId="0" applyFont="1" applyFill="1" applyAlignment="1">
      <alignment vertical="top" textRotation="90"/>
    </xf>
    <xf numFmtId="0" fontId="0" fillId="0" borderId="0" xfId="0" applyAlignment="1">
      <alignment vertical="top" textRotation="90"/>
    </xf>
    <xf numFmtId="0" fontId="3" fillId="9" borderId="0" xfId="0" applyFont="1" applyFill="1" applyAlignment="1">
      <alignment horizontal="left" vertical="top" textRotation="90"/>
    </xf>
    <xf numFmtId="0" fontId="0" fillId="0" borderId="0" xfId="0" applyAlignment="1">
      <alignment textRotation="90"/>
    </xf>
    <xf numFmtId="0" fontId="0" fillId="9" borderId="0" xfId="0" applyFill="1" applyAlignment="1">
      <alignment vertical="top" textRotation="90"/>
    </xf>
    <xf numFmtId="0" fontId="3" fillId="6" borderId="0" xfId="0" applyFont="1" applyFill="1" applyAlignment="1">
      <alignment horizontal="right" vertical="top" textRotation="90"/>
    </xf>
    <xf numFmtId="0" fontId="0" fillId="6" borderId="0" xfId="0" applyFill="1" applyAlignment="1">
      <alignment horizontal="right" vertical="top" textRotation="90"/>
    </xf>
    <xf numFmtId="0" fontId="3" fillId="8" borderId="0" xfId="0" applyFont="1" applyFill="1" applyAlignment="1">
      <alignment vertical="top" textRotation="90"/>
    </xf>
    <xf numFmtId="2" fontId="3" fillId="5" borderId="0" xfId="1" applyNumberFormat="1" applyFont="1" applyFill="1" applyAlignment="1">
      <alignment horizontal="center"/>
    </xf>
    <xf numFmtId="0" fontId="3" fillId="5" borderId="0" xfId="0" applyFont="1" applyFill="1" applyAlignment="1">
      <alignment horizontal="center"/>
    </xf>
    <xf numFmtId="0" fontId="3" fillId="8" borderId="0" xfId="0" applyFont="1" applyFill="1" applyAlignment="1">
      <alignment horizontal="center"/>
    </xf>
    <xf numFmtId="0" fontId="3" fillId="12" borderId="0" xfId="0" applyFont="1" applyFill="1" applyAlignment="1">
      <alignment horizontal="center"/>
    </xf>
    <xf numFmtId="0" fontId="3" fillId="9" borderId="0" xfId="0" applyFont="1" applyFill="1" applyAlignment="1">
      <alignment vertical="center" textRotation="90"/>
    </xf>
    <xf numFmtId="0" fontId="3" fillId="5" borderId="0" xfId="0" applyFont="1" applyFill="1" applyAlignment="1">
      <alignment vertical="center" textRotation="90"/>
    </xf>
    <xf numFmtId="0" fontId="0" fillId="0" borderId="0" xfId="0" applyAlignment="1">
      <alignment vertical="center" textRotation="90"/>
    </xf>
    <xf numFmtId="0" fontId="3" fillId="11" borderId="0" xfId="0" applyFont="1" applyFill="1" applyAlignment="1">
      <alignment vertical="center" textRotation="90"/>
    </xf>
    <xf numFmtId="0" fontId="0" fillId="11" borderId="0" xfId="0" applyFill="1" applyAlignment="1">
      <alignment vertical="center" textRotation="90"/>
    </xf>
    <xf numFmtId="0" fontId="3" fillId="5" borderId="0" xfId="0" applyFont="1" applyFill="1" applyAlignment="1">
      <alignment vertical="top" textRotation="90"/>
    </xf>
    <xf numFmtId="0" fontId="0" fillId="5" borderId="0" xfId="0" applyFill="1" applyAlignment="1">
      <alignment vertical="top" textRotation="90"/>
    </xf>
    <xf numFmtId="0" fontId="3" fillId="10" borderId="0" xfId="0" applyFont="1" applyFill="1" applyAlignment="1">
      <alignment vertical="top" textRotation="90"/>
    </xf>
    <xf numFmtId="0" fontId="4" fillId="0" borderId="0" xfId="0" applyFont="1" applyAlignment="1">
      <alignment horizontal="center" wrapText="1"/>
    </xf>
    <xf numFmtId="0" fontId="1" fillId="0" borderId="0" xfId="2" applyAlignment="1">
      <alignment horizontal="center" vertical="top"/>
    </xf>
    <xf numFmtId="2" fontId="0" fillId="2" borderId="4" xfId="0" applyNumberFormat="1" applyFill="1" applyBorder="1" applyAlignment="1">
      <alignment horizontal="center" wrapText="1"/>
    </xf>
    <xf numFmtId="2" fontId="0" fillId="3" borderId="0" xfId="0" applyNumberFormat="1" applyFill="1" applyAlignment="1">
      <alignment horizontal="center" wrapText="1"/>
    </xf>
    <xf numFmtId="2" fontId="0" fillId="3" borderId="1" xfId="0" applyNumberFormat="1" applyFill="1" applyBorder="1" applyAlignment="1">
      <alignment horizontal="center" wrapText="1"/>
    </xf>
    <xf numFmtId="1" fontId="0" fillId="2" borderId="5" xfId="0" applyNumberFormat="1" applyFill="1" applyBorder="1" applyAlignment="1">
      <alignment horizontal="center" wrapText="1"/>
    </xf>
    <xf numFmtId="0" fontId="0" fillId="0" borderId="4" xfId="0" applyBorder="1" applyAlignment="1">
      <alignment horizontal="center" wrapText="1"/>
    </xf>
    <xf numFmtId="2" fontId="3" fillId="2" borderId="3" xfId="0" applyNumberFormat="1" applyFont="1" applyFill="1" applyBorder="1" applyAlignment="1">
      <alignment horizontal="center"/>
    </xf>
    <xf numFmtId="2" fontId="0" fillId="0" borderId="3" xfId="0" applyNumberFormat="1" applyBorder="1" applyAlignment="1">
      <alignment horizontal="center"/>
    </xf>
    <xf numFmtId="2" fontId="0" fillId="3" borderId="3" xfId="0" applyNumberFormat="1" applyFill="1" applyBorder="1" applyAlignment="1">
      <alignment horizontal="center"/>
    </xf>
    <xf numFmtId="1" fontId="3" fillId="2" borderId="3" xfId="0" applyNumberFormat="1" applyFont="1" applyFill="1" applyBorder="1" applyAlignment="1">
      <alignment horizontal="center"/>
    </xf>
    <xf numFmtId="2" fontId="0" fillId="3" borderId="3" xfId="0" applyNumberFormat="1" applyFill="1" applyBorder="1" applyAlignment="1"/>
    <xf numFmtId="0" fontId="0" fillId="0" borderId="0" xfId="0" applyAlignment="1"/>
  </cellXfs>
  <cellStyles count="10">
    <cellStyle name="Comma 2" xfId="4" xr:uid="{00000000-0005-0000-0000-000001000000}"/>
    <cellStyle name="Comma 3" xfId="6" xr:uid="{00000000-0005-0000-0000-000002000000}"/>
    <cellStyle name="Hipervínculo" xfId="8" builtinId="8"/>
    <cellStyle name="Millares" xfId="1" builtinId="3"/>
    <cellStyle name="Normal" xfId="0" builtinId="0"/>
    <cellStyle name="Normal 2" xfId="3" xr:uid="{00000000-0005-0000-0000-000005000000}"/>
    <cellStyle name="Normal 3" xfId="5" xr:uid="{00000000-0005-0000-0000-000006000000}"/>
    <cellStyle name="Normal 4" xfId="2" xr:uid="{00000000-0005-0000-0000-000007000000}"/>
    <cellStyle name="Percent 2" xfId="7" xr:uid="{00000000-0005-0000-0000-000009000000}"/>
    <cellStyle name="Porcentaje" xfId="9" builtinId="5"/>
  </cellStyles>
  <dxfs count="36">
    <dxf>
      <fill>
        <patternFill>
          <bgColor rgb="FFD0AE30"/>
        </patternFill>
      </fill>
    </dxf>
    <dxf>
      <fill>
        <patternFill>
          <bgColor indexed="43"/>
        </patternFill>
      </fill>
    </dxf>
    <dxf>
      <fill>
        <patternFill>
          <bgColor indexed="43"/>
        </patternFill>
      </fill>
    </dxf>
    <dxf>
      <fill>
        <patternFill>
          <bgColor indexed="43"/>
        </patternFill>
      </fill>
    </dxf>
    <dxf>
      <fill>
        <patternFill>
          <bgColor theme="0" tint="-0.24994659260841701"/>
        </patternFill>
      </fill>
    </dxf>
    <dxf>
      <fill>
        <patternFill>
          <bgColor indexed="43"/>
        </patternFill>
      </fill>
    </dxf>
    <dxf>
      <fill>
        <patternFill>
          <bgColor indexed="43"/>
        </patternFill>
      </fill>
    </dxf>
    <dxf>
      <fill>
        <patternFill>
          <bgColor indexed="53"/>
        </patternFill>
      </fill>
    </dxf>
    <dxf>
      <fill>
        <patternFill>
          <bgColor indexed="43"/>
        </patternFill>
      </fill>
    </dxf>
    <dxf>
      <fill>
        <patternFill>
          <bgColor indexed="43"/>
        </patternFill>
      </fill>
    </dxf>
    <dxf>
      <fill>
        <patternFill>
          <bgColor indexed="43"/>
        </patternFill>
      </fill>
    </dxf>
    <dxf>
      <fill>
        <patternFill>
          <bgColor indexed="43"/>
        </patternFill>
      </fill>
    </dxf>
    <dxf>
      <fill>
        <patternFill>
          <bgColor indexed="43"/>
        </patternFill>
      </fill>
    </dxf>
    <dxf>
      <fill>
        <patternFill>
          <bgColor indexed="43"/>
        </patternFill>
      </fill>
    </dxf>
    <dxf>
      <fill>
        <patternFill>
          <bgColor indexed="43"/>
        </patternFill>
      </fill>
    </dxf>
    <dxf>
      <fill>
        <patternFill>
          <bgColor indexed="53"/>
        </patternFill>
      </fill>
    </dxf>
    <dxf>
      <fill>
        <patternFill>
          <bgColor indexed="43"/>
        </patternFill>
      </fill>
    </dxf>
    <dxf>
      <fill>
        <patternFill>
          <bgColor indexed="53"/>
        </patternFill>
      </fill>
    </dxf>
    <dxf>
      <fill>
        <patternFill>
          <bgColor indexed="43"/>
        </patternFill>
      </fill>
    </dxf>
    <dxf>
      <fill>
        <patternFill>
          <bgColor indexed="43"/>
        </patternFill>
      </fill>
    </dxf>
    <dxf>
      <fill>
        <patternFill>
          <bgColor indexed="43"/>
        </patternFill>
      </fill>
    </dxf>
    <dxf>
      <fill>
        <patternFill>
          <bgColor indexed="53"/>
        </patternFill>
      </fill>
    </dxf>
    <dxf>
      <fill>
        <patternFill>
          <bgColor indexed="43"/>
        </patternFill>
      </fill>
    </dxf>
    <dxf>
      <fill>
        <patternFill>
          <bgColor indexed="53"/>
        </patternFill>
      </fill>
    </dxf>
    <dxf>
      <fill>
        <patternFill>
          <bgColor indexed="43"/>
        </patternFill>
      </fill>
    </dxf>
    <dxf>
      <fill>
        <patternFill>
          <bgColor indexed="53"/>
        </patternFill>
      </fill>
    </dxf>
    <dxf>
      <fill>
        <patternFill>
          <bgColor indexed="43"/>
        </patternFill>
      </fill>
    </dxf>
    <dxf>
      <fill>
        <patternFill>
          <bgColor indexed="53"/>
        </patternFill>
      </fill>
    </dxf>
    <dxf>
      <fill>
        <patternFill>
          <bgColor indexed="43"/>
        </patternFill>
      </fill>
    </dxf>
    <dxf>
      <fill>
        <patternFill>
          <bgColor indexed="43"/>
        </patternFill>
      </fill>
    </dxf>
    <dxf>
      <fill>
        <patternFill>
          <bgColor indexed="53"/>
        </patternFill>
      </fill>
    </dxf>
    <dxf>
      <fill>
        <patternFill>
          <bgColor indexed="43"/>
        </patternFill>
      </fill>
    </dxf>
    <dxf>
      <fill>
        <patternFill>
          <bgColor indexed="43"/>
        </patternFill>
      </fill>
    </dxf>
    <dxf>
      <fill>
        <patternFill>
          <bgColor indexed="53"/>
        </patternFill>
      </fill>
    </dxf>
    <dxf>
      <fill>
        <patternFill>
          <bgColor indexed="43"/>
        </patternFill>
      </fill>
    </dxf>
    <dxf>
      <fill>
        <patternFill>
          <bgColor indexed="53"/>
        </patternFill>
      </fill>
    </dxf>
  </dxfs>
  <tableStyles count="0" defaultTableStyle="TableStyleMedium2" defaultPivotStyle="PivotStyleLight16"/>
  <colors>
    <mruColors>
      <color rgb="FFD0AE3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1/Vaughne/LOCALS~1/Temp/COMNET%20Plug%20Loads%20Calc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harles%20Eley/Pro%20Bono/ASHRAE/Building%20EQ/131216%20Methodology%20Changes/CBECS%20Analysi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vots"/>
      <sheetName val="Assumptions"/>
      <sheetName val="CBECS File 4"/>
      <sheetName val="FILE04 (John's Original)"/>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Pivots"/>
      <sheetName val="All Data"/>
      <sheetName val="Lookup Lists"/>
      <sheetName val="Results"/>
      <sheetName val="CBECS Analysis"/>
    </sheetNames>
    <sheetDataSet>
      <sheetData sheetId="0"/>
      <sheetData sheetId="1"/>
      <sheetData sheetId="2"/>
      <sheetData sheetId="3"/>
      <sheetData sheetId="4"/>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W149"/>
  <sheetViews>
    <sheetView zoomScaleNormal="100" workbookViewId="0">
      <pane xSplit="1" ySplit="3" topLeftCell="B13" activePane="bottomRight" state="frozen"/>
      <selection pane="bottomRight" activeCell="Q5" sqref="Q5"/>
      <selection pane="bottomLeft" activeCell="A4" sqref="A4"/>
      <selection pane="topRight" activeCell="B1" sqref="B1"/>
    </sheetView>
  </sheetViews>
  <sheetFormatPr defaultRowHeight="12.75"/>
  <cols>
    <col min="1" max="1" width="34.7109375" customWidth="1"/>
    <col min="2" max="5" width="12.140625" style="4" customWidth="1"/>
    <col min="6" max="6" width="8.85546875" style="13" customWidth="1"/>
    <col min="7" max="9" width="10" style="13" customWidth="1"/>
    <col min="10" max="10" width="11.140625" style="13" customWidth="1"/>
    <col min="11" max="14" width="11.140625" style="8" customWidth="1"/>
    <col min="15" max="16" width="11.140625" style="13" customWidth="1"/>
    <col min="17" max="17" width="11.140625" style="8" customWidth="1"/>
    <col min="18" max="18" width="11.140625" style="4" customWidth="1"/>
    <col min="19" max="20" width="11.140625" style="13" customWidth="1"/>
    <col min="21" max="21" width="18.85546875" style="11" customWidth="1"/>
    <col min="22" max="22" width="36.28515625" style="11" customWidth="1"/>
    <col min="23" max="23" width="0.140625" customWidth="1"/>
  </cols>
  <sheetData>
    <row r="1" spans="1:23">
      <c r="B1" s="240" t="s">
        <v>0</v>
      </c>
      <c r="C1" s="240"/>
      <c r="D1" s="24"/>
      <c r="E1" s="24"/>
      <c r="F1" s="246" t="s">
        <v>1</v>
      </c>
      <c r="G1" s="246"/>
      <c r="H1" s="303"/>
      <c r="I1" s="303"/>
      <c r="J1" s="303"/>
      <c r="K1" s="240" t="s">
        <v>2</v>
      </c>
      <c r="L1" s="240"/>
      <c r="M1" s="240"/>
      <c r="N1" s="240"/>
      <c r="O1" s="243" t="s">
        <v>3</v>
      </c>
      <c r="P1" s="243"/>
      <c r="Q1" s="240" t="s">
        <v>4</v>
      </c>
      <c r="R1" s="240"/>
      <c r="S1" s="243" t="s">
        <v>5</v>
      </c>
      <c r="T1" s="243"/>
      <c r="U1" s="240" t="s">
        <v>6</v>
      </c>
      <c r="V1" s="240"/>
    </row>
    <row r="2" spans="1:23" s="1" customFormat="1" ht="25.5" customHeight="1">
      <c r="B2" s="249" t="s">
        <v>7</v>
      </c>
      <c r="C2" s="249"/>
      <c r="D2" s="249"/>
      <c r="E2" s="249"/>
      <c r="F2" s="244" t="s">
        <v>8</v>
      </c>
      <c r="G2" s="244"/>
      <c r="H2" s="247" t="s">
        <v>9</v>
      </c>
      <c r="I2" s="248"/>
      <c r="J2" s="248"/>
      <c r="K2" s="241" t="s">
        <v>10</v>
      </c>
      <c r="L2" s="241"/>
      <c r="M2" s="242" t="s">
        <v>11</v>
      </c>
      <c r="N2" s="241"/>
      <c r="O2" s="244" t="s">
        <v>12</v>
      </c>
      <c r="P2" s="244"/>
      <c r="Q2" s="5" t="s">
        <v>13</v>
      </c>
      <c r="R2" s="3" t="s">
        <v>14</v>
      </c>
      <c r="S2" s="245" t="s">
        <v>15</v>
      </c>
      <c r="T2" s="245" t="s">
        <v>16</v>
      </c>
      <c r="U2" s="9"/>
      <c r="V2" s="9"/>
    </row>
    <row r="3" spans="1:23" s="1" customFormat="1" ht="38.25">
      <c r="B3" s="3" t="s">
        <v>17</v>
      </c>
      <c r="C3" s="3" t="s">
        <v>18</v>
      </c>
      <c r="D3" s="3" t="s">
        <v>19</v>
      </c>
      <c r="E3" s="3" t="s">
        <v>20</v>
      </c>
      <c r="F3" s="12" t="s">
        <v>21</v>
      </c>
      <c r="G3" s="12" t="s">
        <v>22</v>
      </c>
      <c r="H3" s="133" t="s">
        <v>23</v>
      </c>
      <c r="I3" s="12" t="s">
        <v>24</v>
      </c>
      <c r="J3" s="12" t="s">
        <v>25</v>
      </c>
      <c r="K3" s="5" t="s">
        <v>26</v>
      </c>
      <c r="L3" s="5" t="s">
        <v>27</v>
      </c>
      <c r="M3" s="7" t="s">
        <v>28</v>
      </c>
      <c r="N3" s="5" t="s">
        <v>29</v>
      </c>
      <c r="O3" s="12" t="s">
        <v>21</v>
      </c>
      <c r="P3" s="12" t="s">
        <v>22</v>
      </c>
      <c r="Q3" s="5" t="s">
        <v>21</v>
      </c>
      <c r="R3" s="3" t="s">
        <v>22</v>
      </c>
      <c r="S3" s="244"/>
      <c r="T3" s="244"/>
      <c r="U3" s="10" t="s">
        <v>30</v>
      </c>
      <c r="V3" s="10" t="s">
        <v>31</v>
      </c>
    </row>
    <row r="4" spans="1:23" s="16" customFormat="1">
      <c r="A4" s="17" t="s">
        <v>32</v>
      </c>
      <c r="B4" s="14"/>
      <c r="C4" s="14"/>
      <c r="D4" s="14"/>
      <c r="E4" s="14"/>
      <c r="F4" s="14"/>
      <c r="G4" s="14"/>
      <c r="H4" s="14"/>
      <c r="I4" s="14"/>
      <c r="J4" s="14"/>
      <c r="K4" s="15"/>
      <c r="L4" s="15"/>
      <c r="M4" s="15"/>
      <c r="N4" s="15"/>
      <c r="O4" s="14"/>
      <c r="P4" s="14"/>
      <c r="Q4" s="15"/>
      <c r="R4" s="14"/>
      <c r="S4" s="14"/>
      <c r="T4" s="14"/>
      <c r="W4"/>
    </row>
    <row r="5" spans="1:23">
      <c r="A5" t="s">
        <v>33</v>
      </c>
      <c r="B5" s="26">
        <v>1.5</v>
      </c>
      <c r="C5" s="26">
        <v>0.9</v>
      </c>
      <c r="D5" s="26">
        <v>0.82</v>
      </c>
      <c r="E5" s="26" t="s">
        <v>34</v>
      </c>
      <c r="F5" s="13">
        <v>1</v>
      </c>
      <c r="G5" s="30">
        <v>0.6</v>
      </c>
      <c r="H5" s="13">
        <v>2</v>
      </c>
      <c r="I5" s="13">
        <v>0.5481284664480347</v>
      </c>
      <c r="J5" s="13">
        <v>0.94299999999999995</v>
      </c>
      <c r="K5" s="8">
        <v>142.85714285714286</v>
      </c>
      <c r="L5" s="8">
        <v>143</v>
      </c>
      <c r="M5" s="8">
        <v>375</v>
      </c>
      <c r="N5" s="8">
        <v>625</v>
      </c>
      <c r="O5" s="13">
        <v>0.15</v>
      </c>
      <c r="P5" s="13">
        <v>0.15</v>
      </c>
      <c r="Q5" s="8">
        <v>120</v>
      </c>
      <c r="R5" s="4">
        <v>1.00396</v>
      </c>
      <c r="S5" s="13">
        <v>0.75063999999999997</v>
      </c>
      <c r="T5" s="13">
        <v>0.12</v>
      </c>
      <c r="U5" s="11" t="s">
        <v>35</v>
      </c>
      <c r="V5" s="11" t="s">
        <v>36</v>
      </c>
    </row>
    <row r="6" spans="1:23">
      <c r="A6" t="s">
        <v>37</v>
      </c>
      <c r="B6" s="26">
        <v>1.4</v>
      </c>
      <c r="C6" s="26">
        <v>1.2</v>
      </c>
      <c r="D6" s="26">
        <v>1.08</v>
      </c>
      <c r="E6" s="26" t="s">
        <v>34</v>
      </c>
      <c r="F6" s="13">
        <v>0.96</v>
      </c>
      <c r="G6" s="30">
        <v>0.9</v>
      </c>
      <c r="H6" s="13">
        <v>2</v>
      </c>
      <c r="I6" s="13">
        <v>0.5481284664480347</v>
      </c>
      <c r="J6" s="13">
        <v>0.77900000000000003</v>
      </c>
      <c r="K6" s="8">
        <v>7.3529411764705879</v>
      </c>
      <c r="L6" s="8">
        <v>9</v>
      </c>
      <c r="M6" s="8">
        <v>245</v>
      </c>
      <c r="N6" s="8">
        <v>112</v>
      </c>
      <c r="O6" s="13">
        <v>1.02</v>
      </c>
      <c r="P6" s="13">
        <v>1.02</v>
      </c>
      <c r="Q6" s="8">
        <v>57</v>
      </c>
      <c r="R6" s="4">
        <v>0.26419999999999999</v>
      </c>
      <c r="S6" s="13">
        <v>0.13647999999999999</v>
      </c>
      <c r="T6" s="13">
        <v>0.03</v>
      </c>
      <c r="U6" s="11" t="s">
        <v>35</v>
      </c>
      <c r="V6" s="11" t="s">
        <v>38</v>
      </c>
    </row>
    <row r="7" spans="1:23">
      <c r="A7" t="s">
        <v>39</v>
      </c>
      <c r="B7" s="26">
        <v>1.4</v>
      </c>
      <c r="C7" s="26">
        <v>1.2</v>
      </c>
      <c r="D7" s="26">
        <v>1.05</v>
      </c>
      <c r="E7" s="26" t="s">
        <v>34</v>
      </c>
      <c r="F7" s="13">
        <v>1</v>
      </c>
      <c r="G7" s="30">
        <v>0.9</v>
      </c>
      <c r="H7" s="13">
        <v>2</v>
      </c>
      <c r="I7" s="13">
        <v>0.5481284664480347</v>
      </c>
      <c r="J7" s="13">
        <v>0.92300000000000004</v>
      </c>
      <c r="K7" s="8">
        <v>6.9930069930069934</v>
      </c>
      <c r="L7" s="8">
        <v>9</v>
      </c>
      <c r="M7" s="8">
        <v>245</v>
      </c>
      <c r="N7" s="8">
        <v>105</v>
      </c>
      <c r="O7" s="13">
        <v>1.07</v>
      </c>
      <c r="P7" s="13">
        <v>1.07</v>
      </c>
      <c r="Q7" s="8">
        <v>60</v>
      </c>
      <c r="R7" s="4">
        <v>0.26419999999999999</v>
      </c>
      <c r="S7" s="13">
        <v>0.13647999999999999</v>
      </c>
      <c r="T7" s="13">
        <v>0.03</v>
      </c>
      <c r="U7" s="11" t="s">
        <v>35</v>
      </c>
      <c r="V7" s="11" t="s">
        <v>38</v>
      </c>
    </row>
    <row r="8" spans="1:23">
      <c r="A8" t="s">
        <v>40</v>
      </c>
      <c r="B8" s="26">
        <v>1.5</v>
      </c>
      <c r="C8" s="26">
        <v>1.3</v>
      </c>
      <c r="D8" s="26">
        <v>0.99</v>
      </c>
      <c r="E8" s="26" t="s">
        <v>34</v>
      </c>
      <c r="F8" s="13">
        <v>0.79</v>
      </c>
      <c r="G8" s="30">
        <v>1.4</v>
      </c>
      <c r="H8" s="13">
        <v>2</v>
      </c>
      <c r="I8" s="13">
        <v>0.92903129906446547</v>
      </c>
      <c r="J8" s="13">
        <v>1</v>
      </c>
      <c r="K8" s="8">
        <v>22.222222222222221</v>
      </c>
      <c r="L8" s="8">
        <v>30</v>
      </c>
      <c r="M8" s="8">
        <v>274</v>
      </c>
      <c r="N8" s="8">
        <v>334</v>
      </c>
      <c r="O8" s="13">
        <v>0.38</v>
      </c>
      <c r="P8" s="13">
        <v>0.38</v>
      </c>
      <c r="Q8" s="8">
        <v>366</v>
      </c>
      <c r="R8" s="4">
        <v>10.0396</v>
      </c>
      <c r="S8" s="13">
        <v>17.537680000000002</v>
      </c>
      <c r="T8" s="13">
        <v>1.1200000000000001</v>
      </c>
      <c r="U8" s="11" t="s">
        <v>35</v>
      </c>
      <c r="V8" s="11" t="s">
        <v>41</v>
      </c>
    </row>
    <row r="9" spans="1:23">
      <c r="A9" t="s">
        <v>42</v>
      </c>
      <c r="B9" s="26">
        <v>1.8</v>
      </c>
      <c r="C9" s="26">
        <v>1.4</v>
      </c>
      <c r="D9" s="26">
        <v>0.9</v>
      </c>
      <c r="E9" s="26" t="s">
        <v>34</v>
      </c>
      <c r="F9" s="13">
        <v>0.79</v>
      </c>
      <c r="G9" s="30">
        <v>1.4</v>
      </c>
      <c r="H9" s="13">
        <v>2</v>
      </c>
      <c r="I9" s="13">
        <v>0.92903129906446547</v>
      </c>
      <c r="J9" s="13">
        <v>1</v>
      </c>
      <c r="K9" s="8">
        <v>22.222222222222221</v>
      </c>
      <c r="L9" s="8">
        <v>30</v>
      </c>
      <c r="M9" s="8">
        <v>274</v>
      </c>
      <c r="N9" s="8">
        <v>334</v>
      </c>
      <c r="O9" s="13">
        <v>0.38</v>
      </c>
      <c r="P9" s="13">
        <v>0.38</v>
      </c>
      <c r="Q9" s="8">
        <v>366</v>
      </c>
      <c r="R9" s="4">
        <v>10.0396</v>
      </c>
      <c r="S9" s="13">
        <v>17.537680000000002</v>
      </c>
      <c r="T9" s="13">
        <v>1.1200000000000001</v>
      </c>
      <c r="U9" s="11" t="s">
        <v>35</v>
      </c>
      <c r="V9" s="11" t="s">
        <v>41</v>
      </c>
    </row>
    <row r="10" spans="1:23">
      <c r="A10" t="s">
        <v>43</v>
      </c>
      <c r="B10" s="26">
        <v>1.9</v>
      </c>
      <c r="C10" s="26">
        <v>1.6</v>
      </c>
      <c r="D10" s="26">
        <v>0.89</v>
      </c>
      <c r="E10" s="26" t="s">
        <v>34</v>
      </c>
      <c r="F10" s="13">
        <v>0.79</v>
      </c>
      <c r="G10" s="30">
        <v>1.4</v>
      </c>
      <c r="H10" s="13">
        <v>2</v>
      </c>
      <c r="I10" s="13">
        <v>0.92903129906446547</v>
      </c>
      <c r="J10" s="13">
        <v>1</v>
      </c>
      <c r="K10" s="8">
        <v>22.222222222222221</v>
      </c>
      <c r="L10" s="8">
        <v>30</v>
      </c>
      <c r="M10" s="8">
        <v>274</v>
      </c>
      <c r="N10" s="8">
        <v>334</v>
      </c>
      <c r="O10" s="13">
        <v>0.38</v>
      </c>
      <c r="P10" s="13">
        <v>0.38</v>
      </c>
      <c r="Q10" s="8">
        <v>366</v>
      </c>
      <c r="R10" s="4">
        <v>10.0396</v>
      </c>
      <c r="S10" s="13">
        <v>17.537680000000002</v>
      </c>
      <c r="T10" s="13">
        <v>1.1200000000000001</v>
      </c>
      <c r="U10" s="11" t="s">
        <v>35</v>
      </c>
      <c r="V10" s="11" t="s">
        <v>41</v>
      </c>
    </row>
    <row r="11" spans="1:23">
      <c r="A11" t="s">
        <v>44</v>
      </c>
      <c r="B11" s="26">
        <v>1.5</v>
      </c>
      <c r="C11" s="26">
        <v>1</v>
      </c>
      <c r="D11" s="26">
        <v>0.61</v>
      </c>
      <c r="E11" s="26" t="s">
        <v>34</v>
      </c>
      <c r="F11" s="13">
        <f>F64</f>
        <v>0.5</v>
      </c>
      <c r="G11" s="30">
        <v>0.9</v>
      </c>
      <c r="H11" s="13">
        <v>2</v>
      </c>
      <c r="I11" s="13">
        <v>0.29729001570062896</v>
      </c>
      <c r="J11" s="13">
        <v>0.56499999999999995</v>
      </c>
      <c r="K11" s="8">
        <f>K64</f>
        <v>50</v>
      </c>
      <c r="L11" s="8">
        <v>150</v>
      </c>
      <c r="M11" s="8">
        <f>M64</f>
        <v>255</v>
      </c>
      <c r="N11" s="8">
        <f>N64</f>
        <v>875</v>
      </c>
      <c r="O11" s="13">
        <f>O64</f>
        <v>0.15</v>
      </c>
      <c r="P11" s="13" t="s">
        <v>45</v>
      </c>
      <c r="Q11" s="8">
        <f>Q64</f>
        <v>120</v>
      </c>
      <c r="R11" s="4" t="s">
        <v>46</v>
      </c>
      <c r="S11" s="13">
        <v>0.68240000000000001</v>
      </c>
      <c r="T11" s="13">
        <v>0.14000000000000001</v>
      </c>
      <c r="U11" s="11" t="s">
        <v>47</v>
      </c>
      <c r="V11" s="11" t="s">
        <v>48</v>
      </c>
    </row>
    <row r="12" spans="1:23">
      <c r="A12" t="s">
        <v>49</v>
      </c>
      <c r="B12" s="26">
        <v>1.4</v>
      </c>
      <c r="C12" s="26">
        <v>1</v>
      </c>
      <c r="D12" s="26">
        <v>0.88</v>
      </c>
      <c r="E12" s="26" t="s">
        <v>34</v>
      </c>
      <c r="F12" s="13">
        <v>1</v>
      </c>
      <c r="G12" s="30">
        <v>1.6</v>
      </c>
      <c r="H12" s="13">
        <v>2</v>
      </c>
      <c r="I12" s="13">
        <v>0.5481284664480347</v>
      </c>
      <c r="J12" s="13">
        <v>0.77900000000000003</v>
      </c>
      <c r="K12" s="8">
        <v>100</v>
      </c>
      <c r="L12" s="8">
        <v>50</v>
      </c>
      <c r="M12" s="8">
        <v>250</v>
      </c>
      <c r="N12" s="8">
        <v>200</v>
      </c>
      <c r="O12" s="13">
        <v>0.15</v>
      </c>
      <c r="P12" s="13">
        <v>0.15</v>
      </c>
      <c r="Q12" s="8">
        <v>120</v>
      </c>
      <c r="R12" s="4">
        <v>1.00396</v>
      </c>
      <c r="S12" s="13">
        <v>0.30708000000000002</v>
      </c>
      <c r="T12" s="13">
        <v>0.1</v>
      </c>
      <c r="U12" s="11" t="s">
        <v>35</v>
      </c>
      <c r="V12" s="11" t="s">
        <v>38</v>
      </c>
    </row>
    <row r="13" spans="1:23">
      <c r="A13" t="s">
        <v>50</v>
      </c>
      <c r="B13" s="26">
        <v>1.3</v>
      </c>
      <c r="C13" s="26">
        <v>1</v>
      </c>
      <c r="D13" s="26">
        <v>0.71</v>
      </c>
      <c r="E13" s="26" t="s">
        <v>34</v>
      </c>
      <c r="F13" s="13">
        <v>1.5</v>
      </c>
      <c r="G13" s="30">
        <v>1.7</v>
      </c>
      <c r="H13" s="13">
        <v>2</v>
      </c>
      <c r="I13" s="13">
        <v>1.1148364799999999</v>
      </c>
      <c r="J13" s="13">
        <v>1</v>
      </c>
      <c r="K13" s="8">
        <v>100</v>
      </c>
      <c r="L13" s="8">
        <v>100</v>
      </c>
      <c r="M13" s="8">
        <v>250</v>
      </c>
      <c r="N13" s="8">
        <v>200</v>
      </c>
      <c r="O13" s="30">
        <v>0.15</v>
      </c>
      <c r="P13" s="30">
        <v>0.15</v>
      </c>
      <c r="Q13" s="8">
        <v>120</v>
      </c>
      <c r="R13" s="4">
        <v>1</v>
      </c>
      <c r="S13" s="13">
        <v>0.31</v>
      </c>
      <c r="T13" s="13">
        <v>0.06</v>
      </c>
      <c r="U13" s="32" t="s">
        <v>51</v>
      </c>
      <c r="V13" s="11" t="s">
        <v>52</v>
      </c>
    </row>
    <row r="14" spans="1:23">
      <c r="A14" t="s">
        <v>53</v>
      </c>
      <c r="B14" s="26">
        <v>1.7</v>
      </c>
      <c r="C14" s="26">
        <v>1.1000000000000001</v>
      </c>
      <c r="D14" s="26">
        <v>1</v>
      </c>
      <c r="E14" s="26" t="s">
        <v>34</v>
      </c>
      <c r="F14" s="13">
        <v>1</v>
      </c>
      <c r="G14" s="30">
        <v>1.6</v>
      </c>
      <c r="H14" s="13">
        <v>2</v>
      </c>
      <c r="I14" s="13">
        <v>0.5481284664480347</v>
      </c>
      <c r="J14" s="13">
        <v>0.77900000000000003</v>
      </c>
      <c r="K14" s="8">
        <v>100</v>
      </c>
      <c r="L14" s="8">
        <v>50</v>
      </c>
      <c r="M14" s="8">
        <v>250</v>
      </c>
      <c r="N14" s="8">
        <v>200</v>
      </c>
      <c r="O14" s="13">
        <v>0.15</v>
      </c>
      <c r="P14" s="13">
        <v>0.15</v>
      </c>
      <c r="Q14" s="8">
        <v>120</v>
      </c>
      <c r="R14" s="4">
        <v>1.00396</v>
      </c>
      <c r="S14" s="13">
        <v>0.30708000000000002</v>
      </c>
      <c r="T14" s="13">
        <v>0.1</v>
      </c>
      <c r="U14" s="11" t="s">
        <v>35</v>
      </c>
      <c r="V14" s="11" t="s">
        <v>38</v>
      </c>
    </row>
    <row r="15" spans="1:23">
      <c r="A15" t="s">
        <v>54</v>
      </c>
      <c r="B15" s="26">
        <v>1.6</v>
      </c>
      <c r="C15" s="26">
        <v>1</v>
      </c>
      <c r="D15" s="26">
        <v>0.87</v>
      </c>
      <c r="E15" s="26" t="s">
        <v>34</v>
      </c>
      <c r="F15" s="13">
        <v>1.18</v>
      </c>
      <c r="G15" s="30">
        <v>1.5</v>
      </c>
      <c r="H15" s="13">
        <v>2</v>
      </c>
      <c r="I15" s="13">
        <v>0.76180566523286164</v>
      </c>
      <c r="J15" s="13">
        <v>0.96199999999999997</v>
      </c>
      <c r="K15" s="8">
        <v>100</v>
      </c>
      <c r="L15" s="8">
        <v>100</v>
      </c>
      <c r="M15" s="8">
        <v>250</v>
      </c>
      <c r="N15" s="8">
        <v>213</v>
      </c>
      <c r="O15" s="13">
        <v>0.15</v>
      </c>
      <c r="P15" s="13">
        <v>0.15</v>
      </c>
      <c r="Q15" s="8">
        <v>110</v>
      </c>
      <c r="R15" s="4">
        <v>3.0118800000000001</v>
      </c>
      <c r="S15" s="13">
        <v>1.1259600000000001</v>
      </c>
      <c r="T15" s="13">
        <v>0.08</v>
      </c>
      <c r="U15" s="11" t="s">
        <v>35</v>
      </c>
      <c r="V15" s="11" t="s">
        <v>55</v>
      </c>
    </row>
    <row r="16" spans="1:23">
      <c r="A16" t="s">
        <v>56</v>
      </c>
      <c r="B16" s="26">
        <v>1.6</v>
      </c>
      <c r="C16" s="26">
        <v>1.2</v>
      </c>
      <c r="D16" s="26">
        <v>1.21</v>
      </c>
      <c r="E16" s="26" t="s">
        <v>34</v>
      </c>
      <c r="F16" s="13">
        <v>1.18</v>
      </c>
      <c r="G16" s="30">
        <v>1.5</v>
      </c>
      <c r="H16" s="13">
        <v>2</v>
      </c>
      <c r="I16" s="13">
        <v>0.76180566523286164</v>
      </c>
      <c r="J16" s="13">
        <v>0.68</v>
      </c>
      <c r="K16" s="8">
        <v>100</v>
      </c>
      <c r="L16" s="8">
        <v>100</v>
      </c>
      <c r="M16" s="8">
        <v>250</v>
      </c>
      <c r="N16" s="8">
        <v>213</v>
      </c>
      <c r="O16" s="13">
        <v>0.15</v>
      </c>
      <c r="P16" s="13">
        <v>0.15</v>
      </c>
      <c r="Q16" s="8">
        <v>110</v>
      </c>
      <c r="R16" s="4">
        <v>3.0118800000000001</v>
      </c>
      <c r="S16" s="13">
        <v>1.1259600000000001</v>
      </c>
      <c r="T16" s="13">
        <v>0.08</v>
      </c>
      <c r="U16" s="11" t="s">
        <v>35</v>
      </c>
      <c r="V16" s="11" t="s">
        <v>55</v>
      </c>
    </row>
    <row r="17" spans="1:22">
      <c r="A17" t="s">
        <v>57</v>
      </c>
      <c r="B17" s="26">
        <v>1.7</v>
      </c>
      <c r="C17" s="26">
        <v>1</v>
      </c>
      <c r="D17" s="26">
        <v>1</v>
      </c>
      <c r="E17" s="26" t="s">
        <v>34</v>
      </c>
      <c r="F17" s="13">
        <f>F76</f>
        <v>1.5</v>
      </c>
      <c r="G17" s="30">
        <v>0.9</v>
      </c>
      <c r="H17" s="13">
        <v>2</v>
      </c>
      <c r="I17" s="13">
        <v>0.29729001570062896</v>
      </c>
      <c r="J17" s="13">
        <v>0.56499999999999995</v>
      </c>
      <c r="K17" s="8">
        <f>K76</f>
        <v>100</v>
      </c>
      <c r="L17" s="8">
        <v>200</v>
      </c>
      <c r="M17" s="8">
        <f>M76</f>
        <v>250</v>
      </c>
      <c r="N17" s="8">
        <f>N76</f>
        <v>200</v>
      </c>
      <c r="O17" s="13">
        <f>O76</f>
        <v>0.15</v>
      </c>
      <c r="P17" s="13" t="s">
        <v>45</v>
      </c>
      <c r="Q17" s="8">
        <f>Q76</f>
        <v>160</v>
      </c>
      <c r="R17" s="4" t="s">
        <v>46</v>
      </c>
      <c r="S17" s="13">
        <v>0.68240000000000001</v>
      </c>
      <c r="T17" s="13">
        <v>0.14000000000000001</v>
      </c>
      <c r="U17" s="11" t="s">
        <v>58</v>
      </c>
      <c r="V17" s="11" t="s">
        <v>48</v>
      </c>
    </row>
    <row r="18" spans="1:22">
      <c r="A18" t="s">
        <v>59</v>
      </c>
      <c r="B18" s="26">
        <v>1.5</v>
      </c>
      <c r="C18" s="26">
        <v>1.3</v>
      </c>
      <c r="D18" s="26">
        <v>1.18</v>
      </c>
      <c r="E18" s="26" t="s">
        <v>34</v>
      </c>
      <c r="F18" s="13">
        <v>1.5</v>
      </c>
      <c r="G18" s="30">
        <v>1.1000000000000001</v>
      </c>
      <c r="H18" s="13">
        <v>2</v>
      </c>
      <c r="I18" s="13">
        <v>0.18580625981289312</v>
      </c>
      <c r="J18" s="13">
        <v>0.77900000000000003</v>
      </c>
      <c r="K18" s="8">
        <v>100</v>
      </c>
      <c r="L18" s="8">
        <v>100</v>
      </c>
      <c r="M18" s="8">
        <v>250</v>
      </c>
      <c r="N18" s="8">
        <v>250</v>
      </c>
      <c r="O18" s="13">
        <v>0.15</v>
      </c>
      <c r="P18" s="13">
        <v>0.15</v>
      </c>
      <c r="Q18" s="8">
        <v>120</v>
      </c>
      <c r="R18" s="4">
        <v>0.18</v>
      </c>
      <c r="S18" s="13">
        <v>0.13647999999999999</v>
      </c>
      <c r="T18" s="13">
        <v>0.06</v>
      </c>
      <c r="U18" s="11" t="s">
        <v>35</v>
      </c>
      <c r="V18" s="11" t="s">
        <v>38</v>
      </c>
    </row>
    <row r="19" spans="1:22">
      <c r="A19" t="s">
        <v>60</v>
      </c>
      <c r="B19" s="26">
        <v>2.2000000000000002</v>
      </c>
      <c r="C19" s="26">
        <v>1.3</v>
      </c>
      <c r="D19" s="26">
        <v>1.1100000000000001</v>
      </c>
      <c r="E19" s="26" t="s">
        <v>34</v>
      </c>
      <c r="F19" s="13">
        <v>1</v>
      </c>
      <c r="G19" s="30">
        <v>0.4</v>
      </c>
      <c r="H19" s="13">
        <v>2</v>
      </c>
      <c r="I19" s="13">
        <v>0.18580625981289312</v>
      </c>
      <c r="J19" s="13">
        <v>1</v>
      </c>
      <c r="K19" s="8">
        <v>142.85714285714286</v>
      </c>
      <c r="L19" s="8">
        <v>200</v>
      </c>
      <c r="M19" s="8">
        <v>375</v>
      </c>
      <c r="N19" s="8">
        <v>625</v>
      </c>
      <c r="O19" s="13">
        <v>0.15</v>
      </c>
      <c r="P19" s="13">
        <v>0.15</v>
      </c>
      <c r="Q19" s="8">
        <v>120</v>
      </c>
      <c r="R19" s="4">
        <v>0.60765999999999998</v>
      </c>
      <c r="S19" s="13">
        <v>0</v>
      </c>
      <c r="T19" s="13">
        <v>0.05</v>
      </c>
      <c r="U19" s="11" t="s">
        <v>35</v>
      </c>
      <c r="V19" s="11" t="s">
        <v>36</v>
      </c>
    </row>
    <row r="20" spans="1:22">
      <c r="A20" t="s">
        <v>61</v>
      </c>
      <c r="B20" s="26">
        <v>2</v>
      </c>
      <c r="C20" s="26">
        <v>1</v>
      </c>
      <c r="D20" s="26">
        <v>0.88</v>
      </c>
      <c r="E20" s="26" t="s">
        <v>34</v>
      </c>
      <c r="F20" s="13">
        <f>F75</f>
        <v>1.5</v>
      </c>
      <c r="G20" s="30">
        <v>0.9</v>
      </c>
      <c r="H20" s="13">
        <v>2</v>
      </c>
      <c r="I20" s="13">
        <v>0.29729001570062896</v>
      </c>
      <c r="J20" s="13">
        <v>0.56499999999999995</v>
      </c>
      <c r="K20" s="8">
        <f>K75</f>
        <v>100</v>
      </c>
      <c r="L20" s="8">
        <v>200</v>
      </c>
      <c r="M20" s="8">
        <f>M75</f>
        <v>250</v>
      </c>
      <c r="N20" s="8">
        <f>N75</f>
        <v>200</v>
      </c>
      <c r="O20" s="13">
        <f>O75</f>
        <v>0.15</v>
      </c>
      <c r="P20" s="13" t="s">
        <v>45</v>
      </c>
      <c r="Q20" s="8">
        <f>Q75</f>
        <v>160</v>
      </c>
      <c r="R20" s="4" t="s">
        <v>46</v>
      </c>
      <c r="S20" s="13">
        <v>0.68240000000000001</v>
      </c>
      <c r="T20" s="13">
        <v>0.14000000000000001</v>
      </c>
      <c r="U20" s="11" t="s">
        <v>47</v>
      </c>
      <c r="V20" s="11" t="s">
        <v>48</v>
      </c>
    </row>
    <row r="21" spans="1:22">
      <c r="A21" t="s">
        <v>62</v>
      </c>
      <c r="B21" s="26">
        <v>1.6</v>
      </c>
      <c r="C21" s="26">
        <v>1.2</v>
      </c>
      <c r="D21" s="26">
        <v>0.83</v>
      </c>
      <c r="E21" s="26" t="s">
        <v>34</v>
      </c>
      <c r="F21" s="13">
        <v>0.54</v>
      </c>
      <c r="G21" s="30">
        <v>0.9</v>
      </c>
      <c r="H21" s="13">
        <v>2</v>
      </c>
      <c r="I21" s="13">
        <v>0.5481284664480347</v>
      </c>
      <c r="J21" s="13">
        <v>0.77900000000000003</v>
      </c>
      <c r="K21" s="8">
        <v>7.6923076923076925</v>
      </c>
      <c r="L21" s="8">
        <v>9</v>
      </c>
      <c r="M21" s="8">
        <v>268</v>
      </c>
      <c r="N21" s="8">
        <v>403</v>
      </c>
      <c r="O21" s="13">
        <v>0.98</v>
      </c>
      <c r="P21" s="13">
        <v>0.98</v>
      </c>
      <c r="Q21" s="8">
        <v>60</v>
      </c>
      <c r="R21" s="4">
        <v>0.26419999999999999</v>
      </c>
      <c r="S21" s="13">
        <v>0.13647999999999999</v>
      </c>
      <c r="T21" s="13">
        <v>0.03</v>
      </c>
      <c r="U21" s="11" t="s">
        <v>35</v>
      </c>
      <c r="V21" s="11" t="s">
        <v>38</v>
      </c>
    </row>
    <row r="22" spans="1:22">
      <c r="A22" t="s">
        <v>63</v>
      </c>
      <c r="B22" s="26">
        <v>1</v>
      </c>
      <c r="C22" s="26">
        <v>0.7</v>
      </c>
      <c r="D22" s="26">
        <v>0.6</v>
      </c>
      <c r="E22" s="26" t="s">
        <v>34</v>
      </c>
      <c r="F22" s="13">
        <f>F63</f>
        <v>1.5</v>
      </c>
      <c r="G22" s="30">
        <v>1.6</v>
      </c>
      <c r="H22" s="13">
        <f t="shared" ref="H22:Q22" si="0">H63</f>
        <v>2</v>
      </c>
      <c r="I22" s="13">
        <f t="shared" si="0"/>
        <v>0.92893973326981794</v>
      </c>
      <c r="J22" s="13">
        <f t="shared" si="0"/>
        <v>1</v>
      </c>
      <c r="K22" s="8">
        <f t="shared" si="0"/>
        <v>200</v>
      </c>
      <c r="L22" s="8">
        <f t="shared" si="0"/>
        <v>200</v>
      </c>
      <c r="M22" s="8">
        <f t="shared" si="0"/>
        <v>275</v>
      </c>
      <c r="N22" s="8">
        <f t="shared" si="0"/>
        <v>475</v>
      </c>
      <c r="O22" s="13">
        <f t="shared" si="0"/>
        <v>0.15</v>
      </c>
      <c r="P22" s="13">
        <f t="shared" si="0"/>
        <v>0.15</v>
      </c>
      <c r="Q22" s="8">
        <f t="shared" si="0"/>
        <v>385</v>
      </c>
      <c r="R22" s="4" t="s">
        <v>64</v>
      </c>
      <c r="S22" s="13">
        <v>0.30708000000000002</v>
      </c>
      <c r="T22" s="13">
        <v>0.1</v>
      </c>
      <c r="U22" s="11" t="s">
        <v>47</v>
      </c>
      <c r="V22" s="11" t="s">
        <v>48</v>
      </c>
    </row>
    <row r="23" spans="1:22">
      <c r="A23" t="s">
        <v>65</v>
      </c>
      <c r="B23" s="26">
        <v>1.6</v>
      </c>
      <c r="C23" s="26">
        <v>1.1000000000000001</v>
      </c>
      <c r="D23" s="26">
        <v>1.06</v>
      </c>
      <c r="E23" s="26" t="s">
        <v>34</v>
      </c>
      <c r="F23" s="13">
        <v>1</v>
      </c>
      <c r="G23" s="30">
        <v>0.9</v>
      </c>
      <c r="H23" s="13">
        <v>2</v>
      </c>
      <c r="I23" s="13">
        <v>0.5481284664480347</v>
      </c>
      <c r="J23" s="13">
        <v>0.77900000000000003</v>
      </c>
      <c r="K23" s="8">
        <v>142.85714285714286</v>
      </c>
      <c r="L23" s="8">
        <v>50</v>
      </c>
      <c r="M23" s="8">
        <v>375</v>
      </c>
      <c r="N23" s="8">
        <v>625</v>
      </c>
      <c r="O23" s="13">
        <v>0.15</v>
      </c>
      <c r="P23" s="13">
        <v>0.15</v>
      </c>
      <c r="Q23" s="8">
        <v>120</v>
      </c>
      <c r="R23" s="4">
        <v>0.26419999999999999</v>
      </c>
      <c r="S23" s="13">
        <v>0.13647999999999999</v>
      </c>
      <c r="T23" s="13">
        <v>0.03</v>
      </c>
      <c r="U23" s="11" t="s">
        <v>35</v>
      </c>
      <c r="V23" s="11" t="s">
        <v>38</v>
      </c>
    </row>
    <row r="24" spans="1:22">
      <c r="A24" t="s">
        <v>66</v>
      </c>
      <c r="B24" s="26">
        <v>1.3</v>
      </c>
      <c r="C24" s="26">
        <v>1</v>
      </c>
      <c r="D24" s="26">
        <v>0.9</v>
      </c>
      <c r="E24" s="26" t="s">
        <v>34</v>
      </c>
      <c r="F24" s="13">
        <v>1.34</v>
      </c>
      <c r="G24" s="30">
        <v>2.2000000000000002</v>
      </c>
      <c r="H24" s="13">
        <v>2</v>
      </c>
      <c r="I24" s="13">
        <v>0.7710959782235064</v>
      </c>
      <c r="J24" s="13">
        <v>0.92300000000000004</v>
      </c>
      <c r="K24" s="8">
        <v>100</v>
      </c>
      <c r="L24" s="8">
        <v>150</v>
      </c>
      <c r="M24" s="8">
        <v>250</v>
      </c>
      <c r="N24" s="8">
        <v>206</v>
      </c>
      <c r="O24" s="13">
        <v>0.15</v>
      </c>
      <c r="P24" s="13">
        <v>0.15</v>
      </c>
      <c r="Q24" s="8">
        <v>106</v>
      </c>
      <c r="R24" s="4">
        <v>1.00396</v>
      </c>
      <c r="S24" s="13">
        <v>0.13647999999999999</v>
      </c>
      <c r="T24" s="13">
        <v>0.06</v>
      </c>
      <c r="U24" s="11" t="s">
        <v>35</v>
      </c>
      <c r="V24" s="11" t="s">
        <v>52</v>
      </c>
    </row>
    <row r="25" spans="1:22">
      <c r="A25" t="s">
        <v>67</v>
      </c>
      <c r="B25" s="26">
        <v>0.3</v>
      </c>
      <c r="C25" s="26">
        <v>0.3</v>
      </c>
      <c r="D25" s="26">
        <v>0.25</v>
      </c>
      <c r="E25" s="26" t="s">
        <v>34</v>
      </c>
      <c r="F25" s="13">
        <v>1</v>
      </c>
      <c r="G25" s="30">
        <v>0.6</v>
      </c>
      <c r="H25" s="13">
        <v>2</v>
      </c>
      <c r="I25" s="13">
        <v>0.5481284664480347</v>
      </c>
      <c r="J25" s="13">
        <v>1</v>
      </c>
      <c r="K25" s="8">
        <v>100</v>
      </c>
      <c r="L25" s="8">
        <v>100</v>
      </c>
      <c r="M25" s="8">
        <v>250</v>
      </c>
      <c r="N25" s="8">
        <v>200</v>
      </c>
      <c r="O25" s="13">
        <v>0.15</v>
      </c>
      <c r="P25" s="13">
        <v>0.15</v>
      </c>
      <c r="Q25" s="8">
        <v>120</v>
      </c>
      <c r="R25" s="4">
        <v>0</v>
      </c>
      <c r="S25" s="13">
        <v>0</v>
      </c>
      <c r="T25" s="13">
        <v>0</v>
      </c>
      <c r="U25" s="11" t="s">
        <v>68</v>
      </c>
      <c r="V25" s="11" t="s">
        <v>69</v>
      </c>
    </row>
    <row r="26" spans="1:22">
      <c r="A26" t="s">
        <v>70</v>
      </c>
      <c r="B26" s="26">
        <v>1.2</v>
      </c>
      <c r="C26" s="26">
        <v>1</v>
      </c>
      <c r="D26" s="26">
        <v>0.97</v>
      </c>
      <c r="E26" s="26" t="s">
        <v>34</v>
      </c>
      <c r="F26" s="13">
        <f>F63</f>
        <v>1.5</v>
      </c>
      <c r="G26" s="30">
        <v>0.9</v>
      </c>
      <c r="H26" s="13">
        <v>2</v>
      </c>
      <c r="I26" s="13">
        <v>0.29729001570062896</v>
      </c>
      <c r="J26" s="13">
        <v>0.56499999999999995</v>
      </c>
      <c r="K26" s="8">
        <f>K63</f>
        <v>200</v>
      </c>
      <c r="L26" s="8">
        <v>250</v>
      </c>
      <c r="M26" s="8">
        <f>M63</f>
        <v>275</v>
      </c>
      <c r="N26" s="8">
        <f>N63</f>
        <v>475</v>
      </c>
      <c r="O26" s="13">
        <f>O63</f>
        <v>0.15</v>
      </c>
      <c r="P26" s="13">
        <f>P63</f>
        <v>0.15</v>
      </c>
      <c r="Q26" s="8">
        <f>Q63</f>
        <v>385</v>
      </c>
      <c r="R26" s="4" t="s">
        <v>46</v>
      </c>
      <c r="S26" s="13">
        <v>0.68240000000000001</v>
      </c>
      <c r="T26" s="13">
        <v>0.14000000000000001</v>
      </c>
      <c r="U26" s="11" t="s">
        <v>47</v>
      </c>
      <c r="V26" s="11" t="s">
        <v>38</v>
      </c>
    </row>
    <row r="27" spans="1:22">
      <c r="A27" t="s">
        <v>71</v>
      </c>
      <c r="B27" s="26">
        <v>1.5</v>
      </c>
      <c r="C27" s="26">
        <v>1.6</v>
      </c>
      <c r="D27" s="26">
        <v>1.36</v>
      </c>
      <c r="E27" s="26" t="s">
        <v>34</v>
      </c>
      <c r="F27" s="13">
        <v>0.54</v>
      </c>
      <c r="G27" s="30">
        <v>0.9</v>
      </c>
      <c r="H27" s="13">
        <v>2</v>
      </c>
      <c r="I27" s="13">
        <v>0.5481284664480347</v>
      </c>
      <c r="J27" s="13">
        <v>0.77900000000000003</v>
      </c>
      <c r="K27" s="8">
        <v>7.6923076923076925</v>
      </c>
      <c r="L27" s="8">
        <v>9</v>
      </c>
      <c r="M27" s="8">
        <v>268</v>
      </c>
      <c r="N27" s="8">
        <v>403</v>
      </c>
      <c r="O27" s="13">
        <v>0.98</v>
      </c>
      <c r="P27" s="13">
        <v>0.98</v>
      </c>
      <c r="Q27" s="8">
        <v>60</v>
      </c>
      <c r="R27" s="4">
        <v>0.26419999999999999</v>
      </c>
      <c r="S27" s="13">
        <v>0.13647999999999999</v>
      </c>
      <c r="T27" s="13">
        <v>0.03</v>
      </c>
      <c r="U27" s="11" t="s">
        <v>35</v>
      </c>
      <c r="V27" s="11" t="s">
        <v>38</v>
      </c>
    </row>
    <row r="28" spans="1:22">
      <c r="A28" t="s">
        <v>72</v>
      </c>
      <c r="B28" s="26">
        <v>1.3</v>
      </c>
      <c r="C28" s="26">
        <v>1</v>
      </c>
      <c r="D28" s="26">
        <v>0.96</v>
      </c>
      <c r="E28" s="26" t="s">
        <v>34</v>
      </c>
      <c r="F28" s="13">
        <v>1.34</v>
      </c>
      <c r="G28" s="30">
        <v>1.7</v>
      </c>
      <c r="H28" s="13">
        <v>2</v>
      </c>
      <c r="I28" s="13">
        <v>1.1148375588773587</v>
      </c>
      <c r="J28" s="13">
        <v>0.627</v>
      </c>
      <c r="K28" s="8">
        <v>100</v>
      </c>
      <c r="L28" s="8">
        <v>100</v>
      </c>
      <c r="M28" s="8">
        <v>250</v>
      </c>
      <c r="N28" s="8">
        <v>206</v>
      </c>
      <c r="O28" s="13">
        <v>0.15</v>
      </c>
      <c r="P28" s="13">
        <v>0.15</v>
      </c>
      <c r="Q28" s="8">
        <v>106</v>
      </c>
      <c r="R28" s="4">
        <v>1.00396</v>
      </c>
      <c r="S28" s="13">
        <v>0.30708000000000002</v>
      </c>
      <c r="T28" s="13">
        <v>0.06</v>
      </c>
      <c r="U28" s="11" t="s">
        <v>35</v>
      </c>
      <c r="V28" s="11" t="s">
        <v>52</v>
      </c>
    </row>
    <row r="29" spans="1:22">
      <c r="A29" t="s">
        <v>73</v>
      </c>
      <c r="B29" s="26">
        <v>1.6</v>
      </c>
      <c r="C29" s="26">
        <v>1.1000000000000001</v>
      </c>
      <c r="D29" s="26">
        <v>0.87</v>
      </c>
      <c r="E29" s="26" t="s">
        <v>34</v>
      </c>
      <c r="F29" s="13">
        <v>1</v>
      </c>
      <c r="G29" s="30">
        <v>2.2000000000000002</v>
      </c>
      <c r="H29" s="13">
        <v>2</v>
      </c>
      <c r="I29" s="13">
        <v>0.7710959782235064</v>
      </c>
      <c r="J29" s="13">
        <v>0.96299999999999997</v>
      </c>
      <c r="K29" s="8">
        <v>142.85714285714286</v>
      </c>
      <c r="L29" s="8">
        <v>100</v>
      </c>
      <c r="M29" s="8">
        <v>375</v>
      </c>
      <c r="N29" s="8">
        <v>625</v>
      </c>
      <c r="O29" s="13">
        <v>0.15</v>
      </c>
      <c r="P29" s="13">
        <v>0.15</v>
      </c>
      <c r="Q29" s="8">
        <v>120</v>
      </c>
      <c r="R29" s="4">
        <v>1.00396</v>
      </c>
      <c r="S29" s="13">
        <v>0.13647999999999999</v>
      </c>
      <c r="T29" s="13">
        <v>7.0000000000000007E-2</v>
      </c>
      <c r="U29" s="11" t="s">
        <v>35</v>
      </c>
      <c r="V29" s="11" t="s">
        <v>52</v>
      </c>
    </row>
    <row r="30" spans="1:22">
      <c r="A30" t="s">
        <v>74</v>
      </c>
      <c r="B30" s="26">
        <v>2.2000000000000002</v>
      </c>
      <c r="C30" s="26">
        <v>1.3</v>
      </c>
      <c r="D30" s="26">
        <v>1.05</v>
      </c>
      <c r="E30" s="26" t="s">
        <v>34</v>
      </c>
      <c r="F30" s="13">
        <v>0.96</v>
      </c>
      <c r="G30" s="30">
        <v>0.3</v>
      </c>
      <c r="H30" s="13">
        <v>2</v>
      </c>
      <c r="I30" s="13">
        <v>0.5481284664480347</v>
      </c>
      <c r="J30" s="13">
        <v>0.97199999999999998</v>
      </c>
      <c r="K30" s="8">
        <v>7.3529411764705879</v>
      </c>
      <c r="L30" s="8">
        <v>9</v>
      </c>
      <c r="M30" s="8">
        <v>245</v>
      </c>
      <c r="N30" s="8">
        <v>112</v>
      </c>
      <c r="O30" s="13">
        <v>1.03</v>
      </c>
      <c r="P30" s="13">
        <v>1.03</v>
      </c>
      <c r="Q30" s="8">
        <v>57</v>
      </c>
      <c r="R30" s="4">
        <v>0.26419999999999999</v>
      </c>
      <c r="S30" s="13">
        <v>0.13647999999999999</v>
      </c>
      <c r="T30" s="13">
        <v>0.03</v>
      </c>
      <c r="U30" s="11" t="s">
        <v>35</v>
      </c>
      <c r="V30" s="11" t="s">
        <v>38</v>
      </c>
    </row>
    <row r="31" spans="1:22">
      <c r="A31" t="s">
        <v>75</v>
      </c>
      <c r="B31" s="26">
        <v>1.9</v>
      </c>
      <c r="C31" s="26">
        <v>1.5</v>
      </c>
      <c r="D31" s="26">
        <v>1.4</v>
      </c>
      <c r="E31" s="26" t="s">
        <v>34</v>
      </c>
      <c r="F31" s="13">
        <f>F112</f>
        <v>1.5</v>
      </c>
      <c r="G31" s="30">
        <v>0.7</v>
      </c>
      <c r="H31" s="13">
        <v>2</v>
      </c>
      <c r="I31" s="13">
        <v>0.34374158065385224</v>
      </c>
      <c r="J31" s="13">
        <v>0.96299999999999997</v>
      </c>
      <c r="K31" s="8">
        <f>K112</f>
        <v>100</v>
      </c>
      <c r="L31" s="8">
        <v>100</v>
      </c>
      <c r="M31" s="8">
        <f>M112</f>
        <v>250</v>
      </c>
      <c r="N31" s="8">
        <f>N112</f>
        <v>250</v>
      </c>
      <c r="O31" s="13">
        <f>O112</f>
        <v>0.15</v>
      </c>
      <c r="P31" s="13" t="s">
        <v>45</v>
      </c>
      <c r="Q31" s="8">
        <f>Q112</f>
        <v>0</v>
      </c>
      <c r="R31" s="4">
        <v>0.60765999999999998</v>
      </c>
      <c r="S31" s="13">
        <v>0.10236000000000001</v>
      </c>
      <c r="T31" s="13">
        <v>0.15</v>
      </c>
      <c r="U31" s="11" t="s">
        <v>68</v>
      </c>
      <c r="V31" s="11" t="s">
        <v>76</v>
      </c>
    </row>
    <row r="32" spans="1:22">
      <c r="A32" s="27" t="s">
        <v>77</v>
      </c>
      <c r="B32" s="26">
        <v>1.5</v>
      </c>
      <c r="C32" s="26">
        <v>1.2</v>
      </c>
      <c r="D32" s="26">
        <v>0.99</v>
      </c>
      <c r="E32" s="26" t="s">
        <v>34</v>
      </c>
      <c r="F32" s="13">
        <v>1</v>
      </c>
      <c r="G32" s="30">
        <v>1.1000000000000001</v>
      </c>
      <c r="H32" s="13">
        <v>2</v>
      </c>
      <c r="I32" s="13" t="s">
        <v>45</v>
      </c>
      <c r="J32" s="13">
        <v>0.77300000000000002</v>
      </c>
      <c r="K32" s="8">
        <v>25</v>
      </c>
      <c r="L32" s="8">
        <v>50</v>
      </c>
      <c r="M32" s="8">
        <v>246</v>
      </c>
      <c r="N32" s="8">
        <v>171</v>
      </c>
      <c r="O32" s="13">
        <v>0.32</v>
      </c>
      <c r="P32" s="13">
        <v>0.32</v>
      </c>
      <c r="Q32" s="8">
        <v>108</v>
      </c>
      <c r="R32" s="4">
        <v>0.60765999999999998</v>
      </c>
      <c r="S32" s="13">
        <v>0.30708000000000002</v>
      </c>
      <c r="T32" s="13">
        <v>0.1</v>
      </c>
      <c r="U32" s="11" t="s">
        <v>35</v>
      </c>
      <c r="V32" s="11" t="s">
        <v>78</v>
      </c>
    </row>
    <row r="33" spans="1:23">
      <c r="A33" t="s">
        <v>79</v>
      </c>
      <c r="B33" s="26">
        <v>1.5</v>
      </c>
      <c r="C33" s="26">
        <v>1.1000000000000001</v>
      </c>
      <c r="D33" s="26">
        <v>0.78</v>
      </c>
      <c r="E33" s="26" t="s">
        <v>34</v>
      </c>
      <c r="F33" s="13">
        <v>1</v>
      </c>
      <c r="G33" s="30">
        <v>0.9</v>
      </c>
      <c r="H33" s="13">
        <v>2</v>
      </c>
      <c r="I33" s="13">
        <v>0.5481284664480347</v>
      </c>
      <c r="J33" s="13">
        <v>0.77900000000000003</v>
      </c>
      <c r="K33" s="8">
        <v>6.9930069930069934</v>
      </c>
      <c r="L33" s="8">
        <v>9</v>
      </c>
      <c r="M33" s="8">
        <v>245</v>
      </c>
      <c r="N33" s="8">
        <v>105</v>
      </c>
      <c r="O33" s="13">
        <v>1.07</v>
      </c>
      <c r="P33" s="13">
        <v>1.07</v>
      </c>
      <c r="Q33" s="8">
        <v>60</v>
      </c>
      <c r="R33" s="4">
        <v>0.26419999999999999</v>
      </c>
      <c r="S33" s="13">
        <v>0.13647999999999999</v>
      </c>
      <c r="T33" s="13">
        <v>0.03</v>
      </c>
      <c r="U33" s="11" t="s">
        <v>35</v>
      </c>
      <c r="V33" s="11" t="s">
        <v>38</v>
      </c>
    </row>
    <row r="34" spans="1:23">
      <c r="A34" t="s">
        <v>80</v>
      </c>
      <c r="B34" s="26">
        <v>1.4</v>
      </c>
      <c r="C34" s="26">
        <v>1.1000000000000001</v>
      </c>
      <c r="D34" s="26">
        <v>0.92</v>
      </c>
      <c r="E34" s="26" t="s">
        <v>34</v>
      </c>
      <c r="F34" s="13">
        <v>1</v>
      </c>
      <c r="G34" s="30">
        <v>0.9</v>
      </c>
      <c r="H34" s="13">
        <v>2</v>
      </c>
      <c r="I34" s="13">
        <v>0.5481284664480347</v>
      </c>
      <c r="J34" s="13">
        <v>0.77900000000000003</v>
      </c>
      <c r="K34" s="8">
        <v>6.9930069930069934</v>
      </c>
      <c r="L34" s="8">
        <v>9</v>
      </c>
      <c r="M34" s="8">
        <v>245</v>
      </c>
      <c r="N34" s="8">
        <v>105</v>
      </c>
      <c r="O34" s="13">
        <v>1.07</v>
      </c>
      <c r="P34" s="13">
        <v>1.07</v>
      </c>
      <c r="Q34" s="8">
        <v>60</v>
      </c>
      <c r="R34" s="4">
        <v>0.26419999999999999</v>
      </c>
      <c r="S34" s="13">
        <v>0.13647999999999999</v>
      </c>
      <c r="T34" s="13">
        <v>0.03</v>
      </c>
      <c r="U34" s="11" t="s">
        <v>35</v>
      </c>
      <c r="V34" s="11" t="s">
        <v>38</v>
      </c>
    </row>
    <row r="35" spans="1:23">
      <c r="A35" t="s">
        <v>81</v>
      </c>
      <c r="B35" s="26">
        <v>1.2</v>
      </c>
      <c r="C35" s="26">
        <v>1</v>
      </c>
      <c r="D35" s="26">
        <v>0.77</v>
      </c>
      <c r="E35" s="26" t="s">
        <v>34</v>
      </c>
      <c r="F35" s="13">
        <v>1</v>
      </c>
      <c r="G35" s="30">
        <v>1.6</v>
      </c>
      <c r="H35" s="13">
        <v>2</v>
      </c>
      <c r="I35" s="13">
        <v>0.5481284664480347</v>
      </c>
      <c r="J35" s="13">
        <v>0.83899999999999997</v>
      </c>
      <c r="K35" s="8">
        <v>100</v>
      </c>
      <c r="L35" s="8">
        <v>60</v>
      </c>
      <c r="M35" s="8">
        <v>250</v>
      </c>
      <c r="N35" s="8">
        <v>200</v>
      </c>
      <c r="O35" s="13">
        <v>0.15</v>
      </c>
      <c r="P35" s="13">
        <v>0.15</v>
      </c>
      <c r="Q35" s="8">
        <v>120</v>
      </c>
      <c r="R35" s="4">
        <v>1.00396</v>
      </c>
      <c r="S35" s="13">
        <v>0.30708000000000002</v>
      </c>
      <c r="T35" s="13">
        <v>0.1</v>
      </c>
      <c r="U35" s="11" t="s">
        <v>35</v>
      </c>
      <c r="V35" s="11" t="s">
        <v>38</v>
      </c>
    </row>
    <row r="36" spans="1:23">
      <c r="A36" t="s">
        <v>82</v>
      </c>
      <c r="B36" s="26">
        <v>1.2</v>
      </c>
      <c r="C36" s="26">
        <v>0.8</v>
      </c>
      <c r="D36" s="26">
        <v>0.66</v>
      </c>
      <c r="E36" s="26" t="s">
        <v>34</v>
      </c>
      <c r="F36" s="13">
        <v>1</v>
      </c>
      <c r="G36" s="30">
        <v>0.4</v>
      </c>
      <c r="H36" s="13">
        <v>2</v>
      </c>
      <c r="I36" s="13">
        <v>0.18580625981289312</v>
      </c>
      <c r="J36" s="13">
        <v>1</v>
      </c>
      <c r="K36" s="8">
        <v>142.85714285714286</v>
      </c>
      <c r="L36" s="8">
        <v>333</v>
      </c>
      <c r="M36" s="8">
        <v>375</v>
      </c>
      <c r="N36" s="8">
        <v>625</v>
      </c>
      <c r="O36" s="13">
        <v>0.15</v>
      </c>
      <c r="P36" s="13">
        <v>0.15</v>
      </c>
      <c r="Q36" s="8">
        <v>120</v>
      </c>
      <c r="R36" s="4">
        <v>0.60765999999999998</v>
      </c>
      <c r="S36" s="13">
        <v>0</v>
      </c>
      <c r="T36" s="13">
        <v>0.05</v>
      </c>
      <c r="U36" s="11" t="s">
        <v>35</v>
      </c>
      <c r="V36" s="11" t="s">
        <v>83</v>
      </c>
    </row>
    <row r="37" spans="1:23">
      <c r="A37" t="s">
        <v>84</v>
      </c>
      <c r="B37" s="26">
        <v>1.7</v>
      </c>
      <c r="C37" s="26">
        <v>1.4</v>
      </c>
      <c r="D37" s="26">
        <v>1.2</v>
      </c>
      <c r="E37" s="26" t="s">
        <v>34</v>
      </c>
      <c r="F37" s="13">
        <v>1</v>
      </c>
      <c r="G37" s="30">
        <v>0.4</v>
      </c>
      <c r="H37" s="13">
        <v>2</v>
      </c>
      <c r="I37" s="13">
        <v>0.18580625981289312</v>
      </c>
      <c r="J37" s="13">
        <v>0.94299999999999995</v>
      </c>
      <c r="K37" s="8">
        <v>142.85714285714286</v>
      </c>
      <c r="L37" s="8">
        <v>200</v>
      </c>
      <c r="M37" s="8">
        <v>375</v>
      </c>
      <c r="N37" s="8">
        <v>625</v>
      </c>
      <c r="O37" s="13">
        <v>0.15</v>
      </c>
      <c r="P37" s="13">
        <v>0.15</v>
      </c>
      <c r="Q37" s="8">
        <v>120</v>
      </c>
      <c r="R37" s="4">
        <v>0.60765999999999998</v>
      </c>
      <c r="S37" s="13">
        <v>0</v>
      </c>
      <c r="T37" s="13">
        <v>0.05</v>
      </c>
      <c r="U37" s="11" t="s">
        <v>35</v>
      </c>
      <c r="V37" s="11" t="s">
        <v>36</v>
      </c>
    </row>
    <row r="38" spans="1:23" s="20" customFormat="1">
      <c r="A38" s="17" t="s">
        <v>85</v>
      </c>
      <c r="B38" s="18"/>
      <c r="C38" s="18"/>
      <c r="D38" s="18"/>
      <c r="E38" s="18"/>
      <c r="F38" s="18"/>
      <c r="G38" s="18"/>
      <c r="H38" s="18"/>
      <c r="I38" s="18"/>
      <c r="J38" s="18"/>
      <c r="K38" s="19"/>
      <c r="L38" s="19"/>
      <c r="M38" s="19"/>
      <c r="N38" s="19"/>
      <c r="O38" s="18"/>
      <c r="P38" s="18"/>
      <c r="Q38" s="19"/>
      <c r="R38" s="18"/>
      <c r="S38" s="18"/>
      <c r="T38" s="18"/>
      <c r="W38" s="28"/>
    </row>
    <row r="39" spans="1:23">
      <c r="A39" t="s">
        <v>86</v>
      </c>
      <c r="B39" s="26">
        <v>1.3</v>
      </c>
      <c r="C39" s="26">
        <v>0.6</v>
      </c>
      <c r="D39" s="26" t="s">
        <v>87</v>
      </c>
      <c r="E39" s="26" t="s">
        <v>34</v>
      </c>
      <c r="O39" s="30"/>
      <c r="P39" s="30"/>
      <c r="U39" s="33"/>
      <c r="V39" s="32"/>
    </row>
    <row r="40" spans="1:23">
      <c r="A40" t="s">
        <v>88</v>
      </c>
      <c r="B40" s="26">
        <v>0.2</v>
      </c>
      <c r="C40" s="26">
        <v>0.2</v>
      </c>
      <c r="D40" s="26" t="s">
        <v>89</v>
      </c>
      <c r="E40" s="26" t="s">
        <v>34</v>
      </c>
      <c r="O40" s="30"/>
      <c r="P40" s="30"/>
      <c r="U40" s="33"/>
      <c r="V40" s="32"/>
    </row>
    <row r="41" spans="1:23">
      <c r="A41" t="s">
        <v>90</v>
      </c>
      <c r="B41" s="26">
        <v>3.2</v>
      </c>
      <c r="C41" s="26">
        <v>1.7</v>
      </c>
      <c r="D41" s="26">
        <v>0.79</v>
      </c>
      <c r="E41" s="26">
        <v>6</v>
      </c>
      <c r="F41" s="13">
        <v>1</v>
      </c>
      <c r="G41" s="30">
        <v>0.90752176393281336</v>
      </c>
      <c r="H41" s="30">
        <v>2</v>
      </c>
      <c r="I41" s="30">
        <v>0.54807444262919258</v>
      </c>
      <c r="J41" s="30">
        <v>1</v>
      </c>
      <c r="K41" s="8">
        <v>7</v>
      </c>
      <c r="L41" s="8">
        <v>9</v>
      </c>
      <c r="M41" s="8">
        <v>245</v>
      </c>
      <c r="N41" s="8">
        <v>105</v>
      </c>
      <c r="O41" s="30">
        <v>1.07</v>
      </c>
      <c r="P41" s="30">
        <v>1.07</v>
      </c>
      <c r="Q41" s="8">
        <v>60</v>
      </c>
      <c r="R41" s="4">
        <v>0.26</v>
      </c>
      <c r="S41" s="13">
        <v>0.14000000000000001</v>
      </c>
      <c r="T41" s="13">
        <v>0.03</v>
      </c>
      <c r="U41" s="32" t="s">
        <v>51</v>
      </c>
      <c r="V41" s="32" t="s">
        <v>38</v>
      </c>
    </row>
    <row r="42" spans="1:23">
      <c r="A42" s="27" t="s">
        <v>91</v>
      </c>
      <c r="B42" s="26">
        <v>1.3</v>
      </c>
      <c r="C42" s="26">
        <v>1.2</v>
      </c>
      <c r="D42" s="26">
        <v>2.4300000000000002</v>
      </c>
      <c r="E42" s="26">
        <v>8</v>
      </c>
      <c r="F42" s="13">
        <v>1</v>
      </c>
      <c r="G42" s="30">
        <v>0.90752176393281336</v>
      </c>
      <c r="H42" s="30">
        <v>2</v>
      </c>
      <c r="I42" s="30">
        <v>0.54807444262919258</v>
      </c>
      <c r="J42" s="30">
        <v>1</v>
      </c>
      <c r="K42" s="8">
        <v>333</v>
      </c>
      <c r="L42" s="8">
        <v>5000</v>
      </c>
      <c r="M42" s="8">
        <v>275</v>
      </c>
      <c r="N42" s="8">
        <v>475</v>
      </c>
      <c r="O42" s="30">
        <v>0.15</v>
      </c>
      <c r="P42" s="30">
        <v>0.15</v>
      </c>
      <c r="Q42" s="8">
        <v>120</v>
      </c>
      <c r="R42" s="4">
        <v>0</v>
      </c>
      <c r="S42" s="13">
        <v>0.14000000000000001</v>
      </c>
      <c r="T42" s="13">
        <v>0.03</v>
      </c>
      <c r="U42" s="32" t="s">
        <v>51</v>
      </c>
      <c r="V42" s="32" t="s">
        <v>38</v>
      </c>
    </row>
    <row r="43" spans="1:23">
      <c r="A43" s="27" t="s">
        <v>92</v>
      </c>
      <c r="B43" s="26">
        <v>1.8</v>
      </c>
      <c r="C43" s="26">
        <v>2.6</v>
      </c>
      <c r="D43" s="26">
        <v>1.1399999999999999</v>
      </c>
      <c r="E43" s="26">
        <v>4</v>
      </c>
      <c r="F43" s="13">
        <v>1</v>
      </c>
      <c r="G43" s="30">
        <v>0.90752176393281336</v>
      </c>
      <c r="H43" s="30">
        <v>2</v>
      </c>
      <c r="I43" s="30">
        <v>0.54807444262919258</v>
      </c>
      <c r="J43" s="30">
        <v>1</v>
      </c>
      <c r="K43" s="8">
        <v>7</v>
      </c>
      <c r="L43" s="8">
        <v>9</v>
      </c>
      <c r="M43" s="8">
        <v>245</v>
      </c>
      <c r="N43" s="8">
        <v>105</v>
      </c>
      <c r="O43" s="30">
        <v>1.07</v>
      </c>
      <c r="P43" s="30">
        <v>1.07</v>
      </c>
      <c r="Q43" s="8">
        <v>60</v>
      </c>
      <c r="R43" s="4">
        <v>0.26</v>
      </c>
      <c r="S43" s="13">
        <v>0.14000000000000001</v>
      </c>
      <c r="T43" s="13">
        <v>0.03</v>
      </c>
      <c r="U43" s="32" t="s">
        <v>51</v>
      </c>
      <c r="V43" s="32" t="s">
        <v>38</v>
      </c>
    </row>
    <row r="44" spans="1:23">
      <c r="A44" s="27" t="s">
        <v>93</v>
      </c>
      <c r="B44" s="26">
        <v>1.4</v>
      </c>
      <c r="C44" s="26">
        <v>0.7</v>
      </c>
      <c r="D44" s="26">
        <v>0.67</v>
      </c>
      <c r="E44" s="26">
        <v>4</v>
      </c>
      <c r="F44" s="13">
        <v>1</v>
      </c>
      <c r="G44" s="30">
        <v>0.64827975078002198</v>
      </c>
      <c r="H44" s="30">
        <v>2</v>
      </c>
      <c r="I44" s="30">
        <v>0.54807444262919258</v>
      </c>
      <c r="J44" s="30">
        <v>1</v>
      </c>
      <c r="K44" s="8">
        <v>100</v>
      </c>
      <c r="L44" s="8">
        <v>100</v>
      </c>
      <c r="M44" s="8">
        <v>275</v>
      </c>
      <c r="N44" s="8">
        <v>475</v>
      </c>
      <c r="O44" s="30">
        <v>1.5</v>
      </c>
      <c r="P44" s="30">
        <v>1.5</v>
      </c>
      <c r="Q44" s="8">
        <v>120</v>
      </c>
      <c r="R44" s="4">
        <v>1</v>
      </c>
      <c r="S44" s="13">
        <v>0.75</v>
      </c>
      <c r="T44" s="13">
        <v>0.12</v>
      </c>
      <c r="U44" s="32" t="s">
        <v>51</v>
      </c>
      <c r="V44" s="32" t="s">
        <v>36</v>
      </c>
    </row>
    <row r="45" spans="1:23">
      <c r="A45" t="s">
        <v>94</v>
      </c>
      <c r="B45" s="26">
        <v>2.4</v>
      </c>
      <c r="C45" s="26">
        <v>1.5</v>
      </c>
      <c r="D45" s="26">
        <v>1.38</v>
      </c>
      <c r="E45" s="26">
        <v>6</v>
      </c>
      <c r="F45" s="13">
        <v>1.5</v>
      </c>
      <c r="G45" s="30">
        <v>2.308980101057736</v>
      </c>
      <c r="H45" s="30">
        <v>2</v>
      </c>
      <c r="I45" s="30">
        <v>0.771019978613949</v>
      </c>
      <c r="J45" s="30">
        <v>1</v>
      </c>
      <c r="K45" s="8">
        <v>100</v>
      </c>
      <c r="L45" s="8">
        <v>100</v>
      </c>
      <c r="M45" s="8">
        <v>250</v>
      </c>
      <c r="N45" s="8">
        <v>250</v>
      </c>
      <c r="O45" s="30">
        <v>0.15</v>
      </c>
      <c r="P45" s="30">
        <v>0.15</v>
      </c>
      <c r="Q45" s="8">
        <v>120</v>
      </c>
      <c r="R45" s="4">
        <v>1</v>
      </c>
      <c r="S45" s="13">
        <v>0.14000000000000001</v>
      </c>
      <c r="T45" s="13">
        <v>0.06</v>
      </c>
      <c r="U45" s="32" t="s">
        <v>51</v>
      </c>
      <c r="V45" s="32" t="s">
        <v>52</v>
      </c>
    </row>
    <row r="46" spans="1:23">
      <c r="A46" t="s">
        <v>95</v>
      </c>
      <c r="B46" s="26">
        <v>1.6</v>
      </c>
      <c r="C46" s="26">
        <v>1.4</v>
      </c>
      <c r="D46" s="26">
        <v>1.24</v>
      </c>
      <c r="E46" s="26">
        <v>4</v>
      </c>
      <c r="F46" s="13">
        <v>1</v>
      </c>
      <c r="G46" s="30">
        <v>0.92840825116785408</v>
      </c>
      <c r="H46" s="30">
        <v>2</v>
      </c>
      <c r="I46" s="30">
        <v>0.14863035732317087</v>
      </c>
      <c r="J46" s="30">
        <v>1</v>
      </c>
      <c r="K46" s="8">
        <v>20</v>
      </c>
      <c r="L46" s="8">
        <v>20</v>
      </c>
      <c r="M46" s="8">
        <v>245</v>
      </c>
      <c r="N46" s="8">
        <v>155</v>
      </c>
      <c r="O46" s="30">
        <v>0.38</v>
      </c>
      <c r="P46" s="30">
        <v>0.38</v>
      </c>
      <c r="Q46" s="8">
        <v>120</v>
      </c>
      <c r="R46" s="4" t="s">
        <v>96</v>
      </c>
      <c r="S46" s="13">
        <v>0.14000000000000001</v>
      </c>
      <c r="T46" s="13">
        <v>0.06</v>
      </c>
      <c r="U46" s="32" t="s">
        <v>51</v>
      </c>
      <c r="V46" s="32" t="s">
        <v>78</v>
      </c>
    </row>
    <row r="47" spans="1:23">
      <c r="A47" t="s">
        <v>97</v>
      </c>
      <c r="B47" s="26">
        <v>1.5</v>
      </c>
      <c r="C47" s="26">
        <v>1.3</v>
      </c>
      <c r="D47" s="26">
        <v>1.23</v>
      </c>
      <c r="E47" s="26">
        <v>6</v>
      </c>
      <c r="F47" s="13">
        <v>1</v>
      </c>
      <c r="G47" s="30">
        <v>0.78836383551489664</v>
      </c>
      <c r="H47" s="30">
        <v>2</v>
      </c>
      <c r="I47" s="30">
        <v>0.54807444262919258</v>
      </c>
      <c r="J47" s="30">
        <v>1</v>
      </c>
      <c r="K47" s="8">
        <v>15</v>
      </c>
      <c r="L47" s="8">
        <v>15</v>
      </c>
      <c r="M47" s="8">
        <v>245</v>
      </c>
      <c r="N47" s="8">
        <v>155</v>
      </c>
      <c r="O47" s="30">
        <v>0.5</v>
      </c>
      <c r="P47" s="30">
        <v>0.5</v>
      </c>
      <c r="Q47" s="8">
        <v>60</v>
      </c>
      <c r="R47" s="4">
        <v>0.26</v>
      </c>
      <c r="S47" s="13">
        <v>0.14000000000000001</v>
      </c>
      <c r="T47" s="13">
        <v>0.03</v>
      </c>
      <c r="U47" s="32" t="s">
        <v>51</v>
      </c>
      <c r="V47" s="32" t="s">
        <v>38</v>
      </c>
    </row>
    <row r="48" spans="1:23">
      <c r="A48" t="s">
        <v>98</v>
      </c>
      <c r="B48" s="26">
        <v>0.5</v>
      </c>
      <c r="C48" s="26">
        <v>0.7</v>
      </c>
      <c r="D48" s="26">
        <v>0.82</v>
      </c>
      <c r="E48" s="26">
        <v>4</v>
      </c>
      <c r="F48" s="13">
        <v>1</v>
      </c>
      <c r="G48" s="30">
        <v>0.90752176393281336</v>
      </c>
      <c r="H48" s="30">
        <v>2</v>
      </c>
      <c r="I48" s="30">
        <v>0.54807444262919258</v>
      </c>
      <c r="J48" s="30">
        <v>1</v>
      </c>
      <c r="K48" s="8">
        <v>7</v>
      </c>
      <c r="L48" s="8">
        <v>9</v>
      </c>
      <c r="M48" s="8">
        <v>245</v>
      </c>
      <c r="N48" s="8">
        <v>105</v>
      </c>
      <c r="O48" s="30">
        <v>1.07</v>
      </c>
      <c r="P48" s="30">
        <v>1.07</v>
      </c>
      <c r="Q48" s="8">
        <v>60</v>
      </c>
      <c r="R48" s="4">
        <v>0.26</v>
      </c>
      <c r="S48" s="13">
        <v>0.14000000000000001</v>
      </c>
      <c r="T48" s="13">
        <v>0.03</v>
      </c>
      <c r="U48" s="32" t="s">
        <v>51</v>
      </c>
      <c r="V48" s="32" t="s">
        <v>38</v>
      </c>
    </row>
    <row r="49" spans="1:22">
      <c r="A49" t="s">
        <v>99</v>
      </c>
      <c r="B49" s="26">
        <v>0.8</v>
      </c>
      <c r="C49" s="26">
        <v>0.6</v>
      </c>
      <c r="D49" s="26">
        <v>1.45</v>
      </c>
      <c r="E49" s="26">
        <v>4</v>
      </c>
      <c r="F49" s="13">
        <v>1</v>
      </c>
      <c r="G49" s="30">
        <v>0.90752176393281336</v>
      </c>
      <c r="H49" s="30">
        <v>2</v>
      </c>
      <c r="I49" s="30">
        <v>0.54807444262919258</v>
      </c>
      <c r="J49" s="30">
        <v>1</v>
      </c>
      <c r="K49" s="8">
        <v>15</v>
      </c>
      <c r="L49" s="8">
        <v>30</v>
      </c>
      <c r="M49" s="8">
        <v>245</v>
      </c>
      <c r="N49" s="8">
        <v>155</v>
      </c>
      <c r="O49" s="30">
        <v>0.15</v>
      </c>
      <c r="P49" s="30">
        <v>0.15</v>
      </c>
      <c r="Q49" s="8">
        <v>385</v>
      </c>
      <c r="R49" s="4" t="s">
        <v>45</v>
      </c>
      <c r="S49" s="13">
        <v>0.14000000000000001</v>
      </c>
      <c r="T49" s="13">
        <v>0.03</v>
      </c>
      <c r="U49" s="32" t="s">
        <v>51</v>
      </c>
      <c r="V49" s="32" t="s">
        <v>38</v>
      </c>
    </row>
    <row r="50" spans="1:22">
      <c r="A50" t="s">
        <v>100</v>
      </c>
      <c r="B50" s="26">
        <v>0.7</v>
      </c>
      <c r="C50" s="26">
        <v>0.5</v>
      </c>
      <c r="D50" s="26">
        <v>0.66</v>
      </c>
      <c r="E50" s="26" t="s">
        <v>101</v>
      </c>
      <c r="F50" s="13">
        <v>0.2</v>
      </c>
      <c r="G50" s="30">
        <v>0.5880142937132008</v>
      </c>
      <c r="H50" s="30">
        <v>2</v>
      </c>
      <c r="I50" s="30">
        <v>0.54807444262919258</v>
      </c>
      <c r="J50" s="30">
        <v>1</v>
      </c>
      <c r="K50" s="8">
        <v>100</v>
      </c>
      <c r="L50" s="8">
        <v>200</v>
      </c>
      <c r="M50" s="8">
        <v>250</v>
      </c>
      <c r="N50" s="8">
        <v>250</v>
      </c>
      <c r="O50" s="30">
        <v>0.15</v>
      </c>
      <c r="P50" s="30">
        <v>0.15</v>
      </c>
      <c r="Q50" s="8">
        <v>0</v>
      </c>
      <c r="R50" s="4">
        <v>0</v>
      </c>
      <c r="S50" s="13">
        <v>0</v>
      </c>
      <c r="T50" s="13">
        <v>0</v>
      </c>
      <c r="U50" s="32" t="s">
        <v>51</v>
      </c>
      <c r="V50" s="32" t="s">
        <v>38</v>
      </c>
    </row>
    <row r="51" spans="1:22">
      <c r="A51" t="s">
        <v>102</v>
      </c>
      <c r="B51" s="26">
        <v>1.1000000000000001</v>
      </c>
      <c r="C51" s="26">
        <v>0.9</v>
      </c>
      <c r="D51" s="26">
        <v>1.1000000000000001</v>
      </c>
      <c r="E51" s="26">
        <v>6</v>
      </c>
      <c r="F51" s="13">
        <v>0.2</v>
      </c>
      <c r="G51" s="30">
        <v>1.7353557079579058</v>
      </c>
      <c r="H51" s="30">
        <v>2</v>
      </c>
      <c r="I51" s="30">
        <v>1.1147276799237815</v>
      </c>
      <c r="J51" s="30">
        <v>1</v>
      </c>
      <c r="K51" s="8">
        <v>100</v>
      </c>
      <c r="L51" s="8">
        <v>100</v>
      </c>
      <c r="M51" s="8">
        <v>250</v>
      </c>
      <c r="N51" s="8">
        <v>250</v>
      </c>
      <c r="O51" s="30">
        <v>0.15</v>
      </c>
      <c r="P51" s="30">
        <v>0.15</v>
      </c>
      <c r="Q51" s="8">
        <v>0</v>
      </c>
      <c r="R51" s="4">
        <v>1</v>
      </c>
      <c r="S51" s="13">
        <v>0.31</v>
      </c>
      <c r="T51" s="13">
        <v>0.06</v>
      </c>
      <c r="U51" s="32" t="s">
        <v>47</v>
      </c>
      <c r="V51" s="32" t="s">
        <v>38</v>
      </c>
    </row>
    <row r="52" spans="1:22">
      <c r="A52" t="s">
        <v>103</v>
      </c>
      <c r="B52" s="26">
        <v>2.1</v>
      </c>
      <c r="C52" s="26">
        <v>1.9</v>
      </c>
      <c r="D52" s="26">
        <v>1.72</v>
      </c>
      <c r="E52" s="26">
        <v>6</v>
      </c>
      <c r="F52" s="13">
        <v>1.5</v>
      </c>
      <c r="G52" s="30">
        <v>1.7353557079579058</v>
      </c>
      <c r="H52" s="30">
        <v>2</v>
      </c>
      <c r="I52" s="30">
        <v>1.1147276799237815</v>
      </c>
      <c r="J52" s="30">
        <v>1</v>
      </c>
      <c r="K52" s="8">
        <v>40</v>
      </c>
      <c r="L52" s="8">
        <v>40</v>
      </c>
      <c r="M52" s="8">
        <v>250</v>
      </c>
      <c r="N52" s="8">
        <v>200</v>
      </c>
      <c r="O52" s="30">
        <v>0.19</v>
      </c>
      <c r="P52" s="30">
        <v>0.19</v>
      </c>
      <c r="Q52" s="8">
        <v>120</v>
      </c>
      <c r="R52" s="4">
        <v>1</v>
      </c>
      <c r="S52" s="13">
        <v>0.31</v>
      </c>
      <c r="T52" s="13">
        <v>0.06</v>
      </c>
      <c r="U52" s="32" t="s">
        <v>51</v>
      </c>
      <c r="V52" s="32" t="s">
        <v>38</v>
      </c>
    </row>
    <row r="53" spans="1:22">
      <c r="A53" t="s">
        <v>104</v>
      </c>
      <c r="B53" s="26">
        <v>1.1000000000000001</v>
      </c>
      <c r="C53" s="26">
        <v>1.3</v>
      </c>
      <c r="D53" s="26">
        <v>1.17</v>
      </c>
      <c r="E53" s="26">
        <v>8</v>
      </c>
      <c r="F53" s="13">
        <v>1.5</v>
      </c>
      <c r="G53" s="30">
        <v>2.3111161078194944</v>
      </c>
      <c r="H53" s="30">
        <v>2</v>
      </c>
      <c r="I53" s="30">
        <v>0.771019978613949</v>
      </c>
      <c r="J53" s="30">
        <v>1</v>
      </c>
      <c r="K53" s="8">
        <v>100</v>
      </c>
      <c r="L53" s="8">
        <v>100</v>
      </c>
      <c r="M53" s="8">
        <v>250</v>
      </c>
      <c r="N53" s="8">
        <v>200</v>
      </c>
      <c r="O53" s="30">
        <v>0.15</v>
      </c>
      <c r="P53" s="30">
        <v>0.15</v>
      </c>
      <c r="Q53" s="8">
        <v>120</v>
      </c>
      <c r="R53" s="4">
        <v>1</v>
      </c>
      <c r="S53" s="13">
        <v>0.14000000000000001</v>
      </c>
      <c r="T53" s="13">
        <v>0.06</v>
      </c>
      <c r="U53" s="32" t="s">
        <v>51</v>
      </c>
      <c r="V53" s="32" t="s">
        <v>38</v>
      </c>
    </row>
    <row r="54" spans="1:22">
      <c r="A54" t="s">
        <v>105</v>
      </c>
      <c r="B54" s="26">
        <v>1.4</v>
      </c>
      <c r="C54" s="26">
        <v>0.9</v>
      </c>
      <c r="D54" s="26">
        <v>0.65</v>
      </c>
      <c r="E54" s="26">
        <v>4</v>
      </c>
      <c r="F54" s="13">
        <v>0.5</v>
      </c>
      <c r="G54" s="30">
        <v>1.344929110848887</v>
      </c>
      <c r="H54" s="30">
        <v>2</v>
      </c>
      <c r="I54" s="30">
        <v>0.92893973326981794</v>
      </c>
      <c r="J54" s="30">
        <v>1</v>
      </c>
      <c r="K54" s="8">
        <v>15</v>
      </c>
      <c r="L54" s="8">
        <v>30</v>
      </c>
      <c r="M54" s="8">
        <v>275</v>
      </c>
      <c r="N54" s="8">
        <v>275</v>
      </c>
      <c r="O54" s="30">
        <v>0.5</v>
      </c>
      <c r="P54" s="30">
        <v>0.5</v>
      </c>
      <c r="Q54" s="8">
        <v>385</v>
      </c>
      <c r="R54" s="4">
        <v>10.039999999999999</v>
      </c>
      <c r="S54" s="13">
        <v>17.54</v>
      </c>
      <c r="T54" s="13">
        <v>1.1200000000000001</v>
      </c>
      <c r="U54" s="32" t="s">
        <v>51</v>
      </c>
      <c r="V54" s="32" t="s">
        <v>41</v>
      </c>
    </row>
    <row r="55" spans="1:22">
      <c r="A55" t="s">
        <v>106</v>
      </c>
      <c r="B55" s="26">
        <v>1.2</v>
      </c>
      <c r="C55" s="26">
        <v>1.4</v>
      </c>
      <c r="D55" s="26">
        <v>1.31</v>
      </c>
      <c r="E55" s="26">
        <v>4</v>
      </c>
      <c r="F55" s="13">
        <v>1</v>
      </c>
      <c r="G55" s="30">
        <v>1.344929110848887</v>
      </c>
      <c r="H55" s="30">
        <v>2</v>
      </c>
      <c r="I55" s="30">
        <v>0.92893973326981794</v>
      </c>
      <c r="J55" s="30">
        <v>1</v>
      </c>
      <c r="K55" s="8">
        <v>15</v>
      </c>
      <c r="L55" s="8">
        <v>30</v>
      </c>
      <c r="M55" s="8">
        <v>275</v>
      </c>
      <c r="N55" s="8">
        <v>275</v>
      </c>
      <c r="O55" s="30">
        <v>0.5</v>
      </c>
      <c r="P55" s="30">
        <v>0.5</v>
      </c>
      <c r="Q55" s="8">
        <v>120</v>
      </c>
      <c r="R55" s="4">
        <v>10.039999999999999</v>
      </c>
      <c r="S55" s="13">
        <v>17.54</v>
      </c>
      <c r="T55" s="13">
        <v>1.1200000000000001</v>
      </c>
      <c r="U55" s="32" t="s">
        <v>51</v>
      </c>
      <c r="V55" s="32" t="s">
        <v>41</v>
      </c>
    </row>
    <row r="56" spans="1:22">
      <c r="A56" t="s">
        <v>107</v>
      </c>
      <c r="B56" s="26">
        <v>2.2000000000000002</v>
      </c>
      <c r="C56" s="26">
        <v>2.1</v>
      </c>
      <c r="D56" s="26">
        <v>0.89</v>
      </c>
      <c r="E56" s="26">
        <v>4</v>
      </c>
      <c r="F56" s="13">
        <v>0.2</v>
      </c>
      <c r="G56" s="30">
        <v>0.5880142937132008</v>
      </c>
      <c r="H56" s="30">
        <v>2</v>
      </c>
      <c r="I56" s="30">
        <v>0.54807444262919258</v>
      </c>
      <c r="J56" s="30">
        <v>1</v>
      </c>
      <c r="K56" s="8">
        <v>15</v>
      </c>
      <c r="L56" s="8">
        <v>30</v>
      </c>
      <c r="M56" s="8">
        <v>275</v>
      </c>
      <c r="N56" s="8">
        <v>275</v>
      </c>
      <c r="O56" s="30">
        <v>0.5</v>
      </c>
      <c r="P56" s="30">
        <v>0.5</v>
      </c>
      <c r="Q56" s="8">
        <v>385</v>
      </c>
      <c r="R56" s="4">
        <v>10.039999999999999</v>
      </c>
      <c r="S56" s="13">
        <v>0</v>
      </c>
      <c r="T56" s="13">
        <v>0</v>
      </c>
      <c r="U56" s="32" t="s">
        <v>51</v>
      </c>
      <c r="V56" s="32" t="s">
        <v>41</v>
      </c>
    </row>
    <row r="57" spans="1:22">
      <c r="A57" s="27" t="s">
        <v>108</v>
      </c>
      <c r="B57" s="26">
        <v>1.9</v>
      </c>
      <c r="C57" s="26">
        <v>1.1000000000000001</v>
      </c>
      <c r="D57" s="26">
        <v>0.38</v>
      </c>
      <c r="E57" s="26">
        <v>8</v>
      </c>
      <c r="F57" s="13">
        <v>0.5</v>
      </c>
      <c r="G57" s="30">
        <v>1.4392365160224985</v>
      </c>
      <c r="H57" s="30">
        <v>2</v>
      </c>
      <c r="I57" s="30">
        <v>0.29726071464634174</v>
      </c>
      <c r="J57" s="30">
        <v>1</v>
      </c>
      <c r="K57" s="8">
        <v>100</v>
      </c>
      <c r="L57" s="8">
        <v>150</v>
      </c>
      <c r="M57" s="8">
        <v>250</v>
      </c>
      <c r="N57" s="8">
        <v>250</v>
      </c>
      <c r="O57" s="30">
        <v>0.15</v>
      </c>
      <c r="P57" s="30">
        <v>0.15</v>
      </c>
      <c r="Q57" s="8">
        <v>120</v>
      </c>
      <c r="R57" s="4" t="s">
        <v>46</v>
      </c>
      <c r="S57" s="13">
        <v>0.68</v>
      </c>
      <c r="T57" s="13">
        <v>0.14000000000000001</v>
      </c>
      <c r="U57" s="32" t="s">
        <v>47</v>
      </c>
      <c r="V57" s="32" t="s">
        <v>48</v>
      </c>
    </row>
    <row r="58" spans="1:22">
      <c r="A58" s="27" t="s">
        <v>109</v>
      </c>
      <c r="B58" s="26" t="s">
        <v>45</v>
      </c>
      <c r="C58" s="26" t="s">
        <v>45</v>
      </c>
      <c r="D58" s="26">
        <v>0.4</v>
      </c>
      <c r="E58" s="26">
        <v>6</v>
      </c>
      <c r="F58" s="13">
        <v>0.5</v>
      </c>
      <c r="G58" s="30">
        <v>1.5795518328227458</v>
      </c>
      <c r="H58" s="30">
        <v>2</v>
      </c>
      <c r="I58" s="30">
        <v>0.54807444262919258</v>
      </c>
      <c r="J58" s="30">
        <v>1</v>
      </c>
      <c r="K58" s="8">
        <v>7</v>
      </c>
      <c r="L58" s="8">
        <v>9</v>
      </c>
      <c r="M58" s="8">
        <v>245</v>
      </c>
      <c r="N58" s="8">
        <v>105</v>
      </c>
      <c r="O58" s="30">
        <v>1.07</v>
      </c>
      <c r="P58" s="30">
        <v>1.07</v>
      </c>
      <c r="Q58" s="8">
        <v>385</v>
      </c>
      <c r="R58" s="4" t="s">
        <v>45</v>
      </c>
      <c r="S58" s="13">
        <v>0</v>
      </c>
      <c r="T58" s="13">
        <v>0</v>
      </c>
      <c r="U58" s="32" t="s">
        <v>35</v>
      </c>
      <c r="V58" s="32" t="s">
        <v>38</v>
      </c>
    </row>
    <row r="59" spans="1:22">
      <c r="A59" t="s">
        <v>110</v>
      </c>
      <c r="B59" s="26">
        <v>0.8</v>
      </c>
      <c r="C59" s="26">
        <v>0.6</v>
      </c>
      <c r="D59" s="26">
        <v>0.95</v>
      </c>
      <c r="E59" s="26">
        <v>6</v>
      </c>
      <c r="F59" s="13">
        <v>0.2</v>
      </c>
      <c r="G59" s="30">
        <v>0.5880142937132008</v>
      </c>
      <c r="H59" s="30">
        <v>2</v>
      </c>
      <c r="I59" s="30">
        <v>0.54807444262919258</v>
      </c>
      <c r="J59" s="30">
        <v>1</v>
      </c>
      <c r="K59" s="8">
        <v>333</v>
      </c>
      <c r="L59" s="8">
        <v>750</v>
      </c>
      <c r="M59" s="8">
        <v>250</v>
      </c>
      <c r="N59" s="8">
        <v>250</v>
      </c>
      <c r="O59" s="30">
        <v>0.15</v>
      </c>
      <c r="P59" s="30">
        <v>0.15</v>
      </c>
      <c r="Q59" s="8">
        <v>385</v>
      </c>
      <c r="R59" s="4" t="s">
        <v>45</v>
      </c>
      <c r="S59" s="13">
        <v>0</v>
      </c>
      <c r="T59" s="13">
        <v>0</v>
      </c>
      <c r="U59" s="32" t="s">
        <v>51</v>
      </c>
      <c r="V59" s="32" t="s">
        <v>36</v>
      </c>
    </row>
    <row r="60" spans="1:22">
      <c r="A60" t="s">
        <v>111</v>
      </c>
      <c r="B60" s="26">
        <v>0.8</v>
      </c>
      <c r="C60" s="26">
        <v>0.6</v>
      </c>
      <c r="D60" s="26">
        <v>0.95</v>
      </c>
      <c r="E60" s="26">
        <v>6</v>
      </c>
      <c r="F60" s="13">
        <v>0.2</v>
      </c>
      <c r="G60" s="30">
        <v>0.5880142937132008</v>
      </c>
      <c r="H60" s="30">
        <v>2</v>
      </c>
      <c r="I60" s="30">
        <v>0.54807444262919258</v>
      </c>
      <c r="J60" s="30">
        <v>1</v>
      </c>
      <c r="K60" s="8">
        <v>333</v>
      </c>
      <c r="L60" s="8">
        <v>750</v>
      </c>
      <c r="M60" s="8">
        <v>250</v>
      </c>
      <c r="N60" s="8">
        <v>250</v>
      </c>
      <c r="O60" s="30">
        <v>0.15</v>
      </c>
      <c r="P60" s="30">
        <v>0.15</v>
      </c>
      <c r="Q60" s="8">
        <v>385</v>
      </c>
      <c r="R60" s="4" t="s">
        <v>45</v>
      </c>
      <c r="S60" s="13">
        <v>0</v>
      </c>
      <c r="T60" s="13">
        <v>0</v>
      </c>
      <c r="U60" s="32" t="s">
        <v>51</v>
      </c>
      <c r="V60" s="32" t="s">
        <v>36</v>
      </c>
    </row>
    <row r="61" spans="1:22">
      <c r="A61" t="s">
        <v>112</v>
      </c>
      <c r="B61" s="26">
        <v>0.9</v>
      </c>
      <c r="C61" s="26">
        <v>0.8</v>
      </c>
      <c r="D61" s="26">
        <v>0.56000000000000005</v>
      </c>
      <c r="E61" s="26">
        <v>4</v>
      </c>
      <c r="F61" s="13">
        <v>1.5</v>
      </c>
      <c r="G61" s="30">
        <v>1.705483062487718</v>
      </c>
      <c r="H61" s="30">
        <v>2</v>
      </c>
      <c r="I61" s="30">
        <v>1.1147276799237815</v>
      </c>
      <c r="J61" s="30">
        <v>1</v>
      </c>
      <c r="K61" s="8">
        <v>100</v>
      </c>
      <c r="L61" s="8">
        <v>100</v>
      </c>
      <c r="M61" s="8">
        <v>250</v>
      </c>
      <c r="N61" s="8">
        <v>200</v>
      </c>
      <c r="O61" s="30">
        <v>0.15</v>
      </c>
      <c r="P61" s="30">
        <v>0.15</v>
      </c>
      <c r="Q61" s="8">
        <v>120</v>
      </c>
      <c r="R61" s="4">
        <v>1</v>
      </c>
      <c r="S61" s="13">
        <v>0.31</v>
      </c>
      <c r="T61" s="13">
        <v>0.06</v>
      </c>
      <c r="U61" s="32" t="s">
        <v>51</v>
      </c>
      <c r="V61" s="11" t="s">
        <v>52</v>
      </c>
    </row>
    <row r="62" spans="1:22">
      <c r="A62" t="s">
        <v>113</v>
      </c>
      <c r="B62" s="26">
        <v>1.1000000000000001</v>
      </c>
      <c r="C62" s="26">
        <v>0.3</v>
      </c>
      <c r="D62" s="26">
        <v>0.25</v>
      </c>
      <c r="E62" s="26">
        <v>6</v>
      </c>
      <c r="F62" s="13">
        <v>0.5</v>
      </c>
      <c r="G62" s="30">
        <v>1.705483062487718</v>
      </c>
      <c r="H62" s="30">
        <v>2</v>
      </c>
      <c r="I62" s="30">
        <v>1.1147276799237815</v>
      </c>
      <c r="J62" s="30">
        <v>1</v>
      </c>
      <c r="K62" s="8">
        <v>100</v>
      </c>
      <c r="L62" s="8">
        <v>100</v>
      </c>
      <c r="M62" s="8">
        <v>250</v>
      </c>
      <c r="N62" s="8">
        <v>250</v>
      </c>
      <c r="O62" s="30">
        <v>0.15</v>
      </c>
      <c r="P62" s="30">
        <v>0.15</v>
      </c>
      <c r="Q62" s="8">
        <v>120</v>
      </c>
      <c r="R62" s="4" t="s">
        <v>45</v>
      </c>
      <c r="S62" s="13">
        <v>0.31</v>
      </c>
      <c r="T62" s="13">
        <v>0.1</v>
      </c>
      <c r="U62" s="32" t="s">
        <v>47</v>
      </c>
      <c r="V62" s="11" t="s">
        <v>52</v>
      </c>
    </row>
    <row r="63" spans="1:22">
      <c r="A63" t="s">
        <v>114</v>
      </c>
      <c r="B63" s="26">
        <v>2.2000000000000002</v>
      </c>
      <c r="C63" s="26">
        <v>1.2</v>
      </c>
      <c r="D63" s="26">
        <v>0.99</v>
      </c>
      <c r="E63" s="26">
        <v>6</v>
      </c>
      <c r="F63" s="13">
        <v>1.5</v>
      </c>
      <c r="G63" s="30">
        <v>1.4195510480291489</v>
      </c>
      <c r="H63" s="30">
        <v>2</v>
      </c>
      <c r="I63" s="30">
        <v>0.92893973326981794</v>
      </c>
      <c r="J63" s="30">
        <v>1</v>
      </c>
      <c r="K63" s="8">
        <v>200</v>
      </c>
      <c r="L63" s="8">
        <v>200</v>
      </c>
      <c r="M63" s="8">
        <v>275</v>
      </c>
      <c r="N63" s="8">
        <v>475</v>
      </c>
      <c r="O63" s="30">
        <v>0.15</v>
      </c>
      <c r="P63" s="30">
        <v>0.15</v>
      </c>
      <c r="Q63" s="8">
        <v>385</v>
      </c>
      <c r="R63" s="4">
        <v>10.039999999999999</v>
      </c>
      <c r="S63" s="13">
        <v>17.54</v>
      </c>
      <c r="T63" s="13">
        <v>1.1200000000000001</v>
      </c>
      <c r="U63" s="32" t="s">
        <v>51</v>
      </c>
      <c r="V63" s="32" t="s">
        <v>41</v>
      </c>
    </row>
    <row r="64" spans="1:22">
      <c r="A64" t="s">
        <v>115</v>
      </c>
      <c r="B64" s="26">
        <v>1.1000000000000001</v>
      </c>
      <c r="C64" s="26">
        <v>0.9</v>
      </c>
      <c r="D64" s="26">
        <v>0.72</v>
      </c>
      <c r="E64" s="26">
        <v>4</v>
      </c>
      <c r="F64" s="13">
        <v>0.5</v>
      </c>
      <c r="G64" s="30">
        <v>0.71678044211605452</v>
      </c>
      <c r="H64" s="30">
        <v>2</v>
      </c>
      <c r="I64" s="30">
        <v>0.54807444262919258</v>
      </c>
      <c r="J64" s="30">
        <v>1</v>
      </c>
      <c r="K64" s="8">
        <v>50</v>
      </c>
      <c r="L64" s="8">
        <v>50</v>
      </c>
      <c r="M64" s="8">
        <v>255</v>
      </c>
      <c r="N64" s="8">
        <v>875</v>
      </c>
      <c r="O64" s="30">
        <v>0.15</v>
      </c>
      <c r="P64" s="30">
        <v>0.15</v>
      </c>
      <c r="Q64" s="8">
        <v>120</v>
      </c>
      <c r="R64" s="4" t="s">
        <v>45</v>
      </c>
      <c r="S64" s="13">
        <v>0.31</v>
      </c>
      <c r="T64" s="13">
        <v>0.1</v>
      </c>
      <c r="U64" s="32" t="s">
        <v>51</v>
      </c>
      <c r="V64" s="11" t="s">
        <v>38</v>
      </c>
    </row>
    <row r="65" spans="1:22">
      <c r="A65" t="s">
        <v>116</v>
      </c>
      <c r="B65" s="26">
        <v>1.1000000000000001</v>
      </c>
      <c r="C65" s="26">
        <v>0.9</v>
      </c>
      <c r="D65" s="26">
        <v>0.43</v>
      </c>
      <c r="E65" s="26">
        <v>6</v>
      </c>
      <c r="F65" s="13">
        <v>0.5</v>
      </c>
      <c r="G65" s="30">
        <v>0.71678044211605452</v>
      </c>
      <c r="H65" s="30">
        <v>2</v>
      </c>
      <c r="I65" s="30">
        <v>0.54807444262919258</v>
      </c>
      <c r="J65" s="30">
        <v>1</v>
      </c>
      <c r="K65" s="8">
        <v>50</v>
      </c>
      <c r="L65" s="8">
        <v>50</v>
      </c>
      <c r="M65" s="8">
        <v>255</v>
      </c>
      <c r="N65" s="8">
        <v>875</v>
      </c>
      <c r="O65" s="30">
        <v>0.15</v>
      </c>
      <c r="P65" s="30">
        <v>0.15</v>
      </c>
      <c r="Q65" s="8">
        <v>120</v>
      </c>
      <c r="R65" s="4" t="s">
        <v>45</v>
      </c>
      <c r="S65" s="13">
        <v>0.31</v>
      </c>
      <c r="T65" s="13">
        <v>0.1</v>
      </c>
      <c r="U65" s="32" t="s">
        <v>51</v>
      </c>
      <c r="V65" s="11" t="s">
        <v>38</v>
      </c>
    </row>
    <row r="66" spans="1:22">
      <c r="A66" t="s">
        <v>117</v>
      </c>
      <c r="B66" s="26">
        <v>1.9</v>
      </c>
      <c r="C66" s="26">
        <v>1.4</v>
      </c>
      <c r="D66" s="26">
        <v>1.2</v>
      </c>
      <c r="E66" s="26">
        <v>4</v>
      </c>
      <c r="F66" s="13">
        <v>0.5</v>
      </c>
      <c r="G66" s="30">
        <v>0.71678044211605452</v>
      </c>
      <c r="H66" s="30">
        <v>2</v>
      </c>
      <c r="I66" s="30">
        <v>0.54807444262919258</v>
      </c>
      <c r="J66" s="30">
        <v>1</v>
      </c>
      <c r="K66" s="8">
        <v>50</v>
      </c>
      <c r="L66" s="8">
        <v>50</v>
      </c>
      <c r="M66" s="8">
        <v>255</v>
      </c>
      <c r="N66" s="8">
        <v>875</v>
      </c>
      <c r="O66" s="30">
        <v>0.15</v>
      </c>
      <c r="P66" s="30">
        <v>0.15</v>
      </c>
      <c r="Q66" s="8">
        <v>120</v>
      </c>
      <c r="R66" s="4" t="s">
        <v>45</v>
      </c>
      <c r="S66" s="13">
        <v>0.31</v>
      </c>
      <c r="T66" s="13">
        <v>0.1</v>
      </c>
      <c r="U66" s="32" t="s">
        <v>51</v>
      </c>
      <c r="V66" s="11" t="s">
        <v>38</v>
      </c>
    </row>
    <row r="67" spans="1:22">
      <c r="A67" t="s">
        <v>118</v>
      </c>
      <c r="B67" s="26">
        <v>2.5</v>
      </c>
      <c r="C67" s="26">
        <v>1.1000000000000001</v>
      </c>
      <c r="D67" s="26">
        <v>1.1100000000000001</v>
      </c>
      <c r="E67" s="26">
        <v>6</v>
      </c>
      <c r="F67" s="13">
        <v>0.5</v>
      </c>
      <c r="G67" s="30">
        <v>1.4839452052196795</v>
      </c>
      <c r="H67" s="30">
        <v>2</v>
      </c>
      <c r="I67" s="30">
        <v>1.1147276799237815</v>
      </c>
      <c r="J67" s="30">
        <v>1</v>
      </c>
      <c r="K67" s="8">
        <v>100</v>
      </c>
      <c r="L67" s="8">
        <v>200</v>
      </c>
      <c r="M67" s="8">
        <v>250</v>
      </c>
      <c r="N67" s="8">
        <v>250</v>
      </c>
      <c r="O67" s="30">
        <v>0.15</v>
      </c>
      <c r="P67" s="30">
        <v>0.15</v>
      </c>
      <c r="Q67" s="8">
        <v>120</v>
      </c>
      <c r="R67" s="4">
        <v>3.01</v>
      </c>
      <c r="S67" s="13">
        <v>1.1299999999999999</v>
      </c>
      <c r="T67" s="13">
        <v>0.08</v>
      </c>
      <c r="U67" s="32" t="s">
        <v>47</v>
      </c>
      <c r="V67" s="32" t="s">
        <v>48</v>
      </c>
    </row>
    <row r="68" spans="1:22">
      <c r="A68" t="s">
        <v>119</v>
      </c>
      <c r="B68" s="26">
        <v>1.6</v>
      </c>
      <c r="C68" s="26">
        <v>1</v>
      </c>
      <c r="D68" s="26">
        <v>0.89</v>
      </c>
      <c r="E68" s="26" t="s">
        <v>120</v>
      </c>
      <c r="F68" s="13">
        <v>0.2</v>
      </c>
      <c r="G68" s="30">
        <v>0.5880142937132008</v>
      </c>
      <c r="H68" s="30">
        <v>2</v>
      </c>
      <c r="I68" s="30">
        <v>0.54807444262919258</v>
      </c>
      <c r="J68" s="30">
        <v>1</v>
      </c>
      <c r="K68" s="8">
        <v>100</v>
      </c>
      <c r="L68" s="8">
        <v>100</v>
      </c>
      <c r="M68" s="8">
        <v>250</v>
      </c>
      <c r="N68" s="8">
        <v>250</v>
      </c>
      <c r="O68" s="30">
        <v>0.15</v>
      </c>
      <c r="P68" s="30">
        <v>0.15</v>
      </c>
      <c r="Q68" s="8">
        <v>0</v>
      </c>
      <c r="R68" s="4">
        <v>0</v>
      </c>
      <c r="S68" s="13">
        <v>0</v>
      </c>
      <c r="T68" s="13">
        <v>0</v>
      </c>
      <c r="U68" s="32" t="s">
        <v>51</v>
      </c>
      <c r="V68" s="32" t="s">
        <v>55</v>
      </c>
    </row>
    <row r="69" spans="1:22">
      <c r="A69" t="s">
        <v>121</v>
      </c>
      <c r="B69" s="26">
        <v>2.8</v>
      </c>
      <c r="C69" s="26">
        <v>2.7</v>
      </c>
      <c r="D69" s="26">
        <v>2.2599999999999998</v>
      </c>
      <c r="E69" s="26">
        <v>6</v>
      </c>
      <c r="F69" s="13">
        <v>1.5</v>
      </c>
      <c r="G69" s="30">
        <v>1.5462712125904259</v>
      </c>
      <c r="H69" s="30">
        <v>2</v>
      </c>
      <c r="I69" s="30">
        <v>0.7617305812812506</v>
      </c>
      <c r="J69" s="30">
        <v>1</v>
      </c>
      <c r="K69" s="8">
        <v>100</v>
      </c>
      <c r="L69" s="8">
        <v>100</v>
      </c>
      <c r="M69" s="8">
        <v>250</v>
      </c>
      <c r="N69" s="8">
        <v>200</v>
      </c>
      <c r="O69" s="30">
        <v>0.15</v>
      </c>
      <c r="P69" s="30">
        <v>0.15</v>
      </c>
      <c r="Q69" s="8">
        <v>160</v>
      </c>
      <c r="R69" s="4">
        <v>3.01</v>
      </c>
      <c r="S69" s="13">
        <v>1.1299999999999999</v>
      </c>
      <c r="T69" s="13">
        <v>0.08</v>
      </c>
      <c r="U69" s="32" t="s">
        <v>51</v>
      </c>
      <c r="V69" s="32" t="s">
        <v>55</v>
      </c>
    </row>
    <row r="70" spans="1:22">
      <c r="A70" t="s">
        <v>122</v>
      </c>
      <c r="B70" s="26">
        <v>1.6</v>
      </c>
      <c r="C70" s="26">
        <v>1.5</v>
      </c>
      <c r="D70" s="26">
        <v>1.66</v>
      </c>
      <c r="E70" s="26">
        <v>8</v>
      </c>
      <c r="F70" s="13">
        <v>1.5</v>
      </c>
      <c r="G70" s="30">
        <v>1.5641922977751259</v>
      </c>
      <c r="H70" s="30">
        <v>2</v>
      </c>
      <c r="I70" s="30">
        <v>0.54807444262919258</v>
      </c>
      <c r="J70" s="30">
        <v>1</v>
      </c>
      <c r="K70" s="8">
        <v>100</v>
      </c>
      <c r="L70" s="8">
        <v>100</v>
      </c>
      <c r="M70" s="8">
        <v>250</v>
      </c>
      <c r="N70" s="8">
        <v>200</v>
      </c>
      <c r="O70" s="30">
        <v>0.15</v>
      </c>
      <c r="P70" s="30">
        <v>0.15</v>
      </c>
      <c r="Q70" s="8">
        <v>160</v>
      </c>
      <c r="R70" s="4">
        <v>3.01</v>
      </c>
      <c r="S70" s="13">
        <v>1.1299999999999999</v>
      </c>
      <c r="T70" s="13">
        <v>0.08</v>
      </c>
      <c r="U70" s="32" t="s">
        <v>51</v>
      </c>
      <c r="V70" s="32" t="s">
        <v>55</v>
      </c>
    </row>
    <row r="71" spans="1:22">
      <c r="A71" t="s">
        <v>123</v>
      </c>
      <c r="B71" s="26">
        <v>2.5</v>
      </c>
      <c r="C71" s="26">
        <v>1.1000000000000001</v>
      </c>
      <c r="D71" s="26">
        <v>0.6</v>
      </c>
      <c r="E71" s="26">
        <v>4</v>
      </c>
      <c r="F71" s="13">
        <v>3</v>
      </c>
      <c r="G71" s="30">
        <v>0.65443886603929946</v>
      </c>
      <c r="H71" s="30">
        <v>2</v>
      </c>
      <c r="I71" s="30">
        <v>0.54807444262919258</v>
      </c>
      <c r="J71" s="30">
        <v>1</v>
      </c>
      <c r="K71" s="8">
        <v>100</v>
      </c>
      <c r="L71" s="8">
        <v>100</v>
      </c>
      <c r="M71" s="8">
        <v>250</v>
      </c>
      <c r="N71" s="8">
        <v>250</v>
      </c>
      <c r="O71" s="30">
        <v>0.15</v>
      </c>
      <c r="P71" s="30">
        <v>0.15</v>
      </c>
      <c r="Q71" s="8">
        <v>2800</v>
      </c>
      <c r="R71" s="4" t="s">
        <v>46</v>
      </c>
      <c r="S71" s="13">
        <v>0.75</v>
      </c>
      <c r="T71" s="13">
        <v>0.12</v>
      </c>
      <c r="U71" s="32" t="s">
        <v>47</v>
      </c>
      <c r="V71" s="32" t="s">
        <v>55</v>
      </c>
    </row>
    <row r="72" spans="1:22">
      <c r="A72" t="s">
        <v>124</v>
      </c>
      <c r="B72" s="26">
        <v>1.6</v>
      </c>
      <c r="C72" s="26">
        <v>1.5</v>
      </c>
      <c r="D72" s="26">
        <v>1.07</v>
      </c>
      <c r="E72" s="26">
        <v>6</v>
      </c>
      <c r="F72" s="13">
        <v>0.5</v>
      </c>
      <c r="G72" s="30">
        <v>0.71678044211605452</v>
      </c>
      <c r="H72" s="30">
        <v>2</v>
      </c>
      <c r="I72" s="30">
        <v>0.54807444262919258</v>
      </c>
      <c r="J72" s="30">
        <v>1</v>
      </c>
      <c r="K72" s="8">
        <v>100</v>
      </c>
      <c r="L72" s="8">
        <v>100</v>
      </c>
      <c r="M72" s="8">
        <v>250</v>
      </c>
      <c r="N72" s="8">
        <v>200</v>
      </c>
      <c r="O72" s="30">
        <v>0.15</v>
      </c>
      <c r="P72" s="30">
        <v>0.15</v>
      </c>
      <c r="Q72" s="8">
        <v>160</v>
      </c>
      <c r="R72" s="4">
        <v>3.01</v>
      </c>
      <c r="S72" s="13">
        <v>0.14000000000000001</v>
      </c>
      <c r="T72" s="13">
        <v>0.03</v>
      </c>
      <c r="U72" s="32" t="s">
        <v>51</v>
      </c>
      <c r="V72" s="32" t="s">
        <v>55</v>
      </c>
    </row>
    <row r="73" spans="1:22">
      <c r="A73" t="s">
        <v>125</v>
      </c>
      <c r="B73" s="26">
        <v>3</v>
      </c>
      <c r="C73" s="26">
        <v>1.4</v>
      </c>
      <c r="D73" s="26">
        <v>1.27</v>
      </c>
      <c r="E73" s="26">
        <v>6</v>
      </c>
      <c r="F73" s="13">
        <v>1.5</v>
      </c>
      <c r="G73" s="30">
        <v>1.5462712125904259</v>
      </c>
      <c r="H73" s="30">
        <v>2</v>
      </c>
      <c r="I73" s="30">
        <v>0.7617305812812506</v>
      </c>
      <c r="J73" s="30">
        <v>1</v>
      </c>
      <c r="K73" s="8">
        <v>100</v>
      </c>
      <c r="L73" s="8">
        <v>100</v>
      </c>
      <c r="M73" s="8">
        <v>250</v>
      </c>
      <c r="N73" s="8">
        <v>200</v>
      </c>
      <c r="O73" s="30">
        <v>0.15</v>
      </c>
      <c r="P73" s="30">
        <v>0.15</v>
      </c>
      <c r="Q73" s="8">
        <v>160</v>
      </c>
      <c r="R73" s="4">
        <v>3.01</v>
      </c>
      <c r="S73" s="13">
        <v>1.1299999999999999</v>
      </c>
      <c r="T73" s="13">
        <v>0.08</v>
      </c>
      <c r="U73" s="32" t="s">
        <v>51</v>
      </c>
      <c r="V73" s="32" t="s">
        <v>55</v>
      </c>
    </row>
    <row r="74" spans="1:22">
      <c r="A74" t="s">
        <v>126</v>
      </c>
      <c r="B74" s="26">
        <v>1</v>
      </c>
      <c r="C74" s="26">
        <v>0.6</v>
      </c>
      <c r="D74" s="26">
        <v>0.88</v>
      </c>
      <c r="E74" s="26">
        <v>6</v>
      </c>
      <c r="F74" s="13">
        <v>0.5</v>
      </c>
      <c r="G74" s="30">
        <v>1.4839452052196795</v>
      </c>
      <c r="H74" s="30">
        <v>2</v>
      </c>
      <c r="I74" s="30">
        <v>1.1147276799237815</v>
      </c>
      <c r="J74" s="30">
        <v>1</v>
      </c>
      <c r="K74" s="8">
        <v>100</v>
      </c>
      <c r="L74" s="8">
        <v>100</v>
      </c>
      <c r="M74" s="8">
        <v>250</v>
      </c>
      <c r="N74" s="8">
        <v>200</v>
      </c>
      <c r="O74" s="30">
        <v>0.15</v>
      </c>
      <c r="P74" s="30">
        <v>0.15</v>
      </c>
      <c r="Q74" s="8">
        <v>160</v>
      </c>
      <c r="R74" s="4">
        <v>3.01</v>
      </c>
      <c r="S74" s="13">
        <v>1.1299999999999999</v>
      </c>
      <c r="T74" s="13">
        <v>0.08</v>
      </c>
      <c r="U74" s="32" t="s">
        <v>51</v>
      </c>
      <c r="V74" s="32" t="s">
        <v>55</v>
      </c>
    </row>
    <row r="75" spans="1:22">
      <c r="A75" t="s">
        <v>127</v>
      </c>
      <c r="B75" s="26">
        <v>1.8</v>
      </c>
      <c r="C75" s="26">
        <v>1</v>
      </c>
      <c r="D75" s="26">
        <v>0.87</v>
      </c>
      <c r="E75" s="26">
        <v>6</v>
      </c>
      <c r="F75" s="13">
        <v>1.5</v>
      </c>
      <c r="G75" s="30">
        <v>1.5641922977751259</v>
      </c>
      <c r="H75" s="30">
        <v>2</v>
      </c>
      <c r="I75" s="30">
        <v>0.54807444262919258</v>
      </c>
      <c r="J75" s="30">
        <v>1</v>
      </c>
      <c r="K75" s="8">
        <v>100</v>
      </c>
      <c r="L75" s="8">
        <v>100</v>
      </c>
      <c r="M75" s="8">
        <v>250</v>
      </c>
      <c r="N75" s="8">
        <v>200</v>
      </c>
      <c r="O75" s="30">
        <v>0.15</v>
      </c>
      <c r="P75" s="30">
        <v>0.15</v>
      </c>
      <c r="Q75" s="8">
        <v>160</v>
      </c>
      <c r="R75" s="4">
        <v>3.01</v>
      </c>
      <c r="S75" s="13">
        <v>1.1299999999999999</v>
      </c>
      <c r="T75" s="13">
        <v>0.08</v>
      </c>
      <c r="U75" s="32" t="s">
        <v>51</v>
      </c>
      <c r="V75" s="32" t="s">
        <v>55</v>
      </c>
    </row>
    <row r="76" spans="1:22">
      <c r="A76" t="s">
        <v>128</v>
      </c>
      <c r="B76" s="26">
        <v>7.6</v>
      </c>
      <c r="C76" s="26">
        <v>2.2000000000000002</v>
      </c>
      <c r="D76" s="26">
        <v>1.89</v>
      </c>
      <c r="E76" s="26">
        <v>6</v>
      </c>
      <c r="F76" s="13">
        <v>1.5</v>
      </c>
      <c r="G76" s="30">
        <v>1.5462712125904259</v>
      </c>
      <c r="H76" s="30">
        <v>2</v>
      </c>
      <c r="I76" s="30">
        <v>0.7617305812812506</v>
      </c>
      <c r="J76" s="30">
        <v>1</v>
      </c>
      <c r="K76" s="8">
        <v>100</v>
      </c>
      <c r="L76" s="8">
        <v>100</v>
      </c>
      <c r="M76" s="8">
        <v>250</v>
      </c>
      <c r="N76" s="8">
        <v>200</v>
      </c>
      <c r="O76" s="30">
        <v>0.15</v>
      </c>
      <c r="P76" s="30">
        <v>0.15</v>
      </c>
      <c r="Q76" s="8">
        <v>160</v>
      </c>
      <c r="R76" s="4">
        <v>3.01</v>
      </c>
      <c r="S76" s="13">
        <v>1.1299999999999999</v>
      </c>
      <c r="T76" s="13">
        <v>0.08</v>
      </c>
      <c r="U76" s="32" t="s">
        <v>51</v>
      </c>
      <c r="V76" s="32" t="s">
        <v>55</v>
      </c>
    </row>
    <row r="77" spans="1:22">
      <c r="A77" s="27" t="s">
        <v>129</v>
      </c>
      <c r="B77" s="26">
        <v>1.2</v>
      </c>
      <c r="C77" s="26">
        <v>0.7</v>
      </c>
      <c r="D77" s="26">
        <v>0.62</v>
      </c>
      <c r="E77" s="26">
        <v>6</v>
      </c>
      <c r="F77" s="13">
        <v>0.5</v>
      </c>
      <c r="G77" s="30">
        <v>1.4839452052196795</v>
      </c>
      <c r="H77" s="30">
        <v>2</v>
      </c>
      <c r="I77" s="30">
        <v>1.1147276799237815</v>
      </c>
      <c r="J77" s="30">
        <v>1</v>
      </c>
      <c r="K77" s="8">
        <v>100</v>
      </c>
      <c r="L77" s="8">
        <v>100</v>
      </c>
      <c r="M77" s="8">
        <v>250</v>
      </c>
      <c r="N77" s="8">
        <v>200</v>
      </c>
      <c r="O77" s="30">
        <v>0.15</v>
      </c>
      <c r="P77" s="30">
        <v>0.15</v>
      </c>
      <c r="Q77" s="8">
        <v>160</v>
      </c>
      <c r="R77" s="4" t="s">
        <v>45</v>
      </c>
      <c r="S77" s="13">
        <v>1.1299999999999999</v>
      </c>
      <c r="T77" s="13">
        <v>0.08</v>
      </c>
      <c r="U77" s="32" t="s">
        <v>51</v>
      </c>
      <c r="V77" s="32" t="s">
        <v>55</v>
      </c>
    </row>
    <row r="78" spans="1:22">
      <c r="A78" t="s">
        <v>130</v>
      </c>
      <c r="B78" s="26">
        <v>2.2999999999999998</v>
      </c>
      <c r="C78" s="26">
        <v>1.2</v>
      </c>
      <c r="D78" s="26">
        <v>1.1399999999999999</v>
      </c>
      <c r="E78" s="26">
        <v>6</v>
      </c>
      <c r="F78" s="13">
        <v>1.5</v>
      </c>
      <c r="G78" s="30">
        <v>1.5641922977751259</v>
      </c>
      <c r="H78" s="30">
        <v>2</v>
      </c>
      <c r="I78" s="30">
        <v>0.54807444262919258</v>
      </c>
      <c r="J78" s="30">
        <v>1</v>
      </c>
      <c r="K78" s="8">
        <v>100</v>
      </c>
      <c r="L78" s="8">
        <v>100</v>
      </c>
      <c r="M78" s="8">
        <v>250</v>
      </c>
      <c r="N78" s="8">
        <v>200</v>
      </c>
      <c r="O78" s="30">
        <v>0.15</v>
      </c>
      <c r="P78" s="30">
        <v>0.15</v>
      </c>
      <c r="Q78" s="8">
        <v>160</v>
      </c>
      <c r="R78" s="4">
        <v>3.01</v>
      </c>
      <c r="S78" s="13">
        <v>1.1299999999999999</v>
      </c>
      <c r="T78" s="13">
        <v>0.08</v>
      </c>
      <c r="U78" s="32" t="s">
        <v>51</v>
      </c>
      <c r="V78" s="32" t="s">
        <v>55</v>
      </c>
    </row>
    <row r="79" spans="1:22">
      <c r="A79" s="27" t="s">
        <v>131</v>
      </c>
      <c r="B79" s="26">
        <v>2.2999999999999998</v>
      </c>
      <c r="C79" s="26">
        <v>1.2</v>
      </c>
      <c r="D79" s="26">
        <v>0.91</v>
      </c>
      <c r="E79" s="26">
        <v>6</v>
      </c>
      <c r="F79" s="13">
        <v>1.5</v>
      </c>
      <c r="G79" s="30">
        <v>1.5462712125904259</v>
      </c>
      <c r="H79" s="30">
        <v>2</v>
      </c>
      <c r="I79" s="30">
        <v>0.7617305812812506</v>
      </c>
      <c r="J79" s="30">
        <v>1</v>
      </c>
      <c r="K79" s="8">
        <v>100</v>
      </c>
      <c r="L79" s="8">
        <v>100</v>
      </c>
      <c r="M79" s="8">
        <v>250</v>
      </c>
      <c r="N79" s="8">
        <v>200</v>
      </c>
      <c r="O79" s="30">
        <v>0.15</v>
      </c>
      <c r="P79" s="30">
        <v>0.15</v>
      </c>
      <c r="Q79" s="8">
        <v>160</v>
      </c>
      <c r="R79" s="4">
        <v>3.01</v>
      </c>
      <c r="S79" s="13">
        <v>1.1299999999999999</v>
      </c>
      <c r="T79" s="13">
        <v>0.08</v>
      </c>
      <c r="U79" s="32" t="s">
        <v>51</v>
      </c>
      <c r="V79" s="32" t="s">
        <v>55</v>
      </c>
    </row>
    <row r="80" spans="1:22">
      <c r="A80" t="s">
        <v>132</v>
      </c>
      <c r="B80" s="26">
        <v>0.4</v>
      </c>
      <c r="C80" s="26">
        <v>0.4</v>
      </c>
      <c r="D80" s="26">
        <v>1.32</v>
      </c>
      <c r="E80" s="26">
        <v>6</v>
      </c>
      <c r="F80" s="13">
        <v>1.5</v>
      </c>
      <c r="G80" s="30">
        <v>1.5462712125904259</v>
      </c>
      <c r="H80" s="30">
        <v>2</v>
      </c>
      <c r="I80" s="30">
        <v>0.7617305812812506</v>
      </c>
      <c r="J80" s="30">
        <v>1</v>
      </c>
      <c r="K80" s="8">
        <v>100</v>
      </c>
      <c r="L80" s="8">
        <v>100</v>
      </c>
      <c r="M80" s="8">
        <v>250</v>
      </c>
      <c r="N80" s="8">
        <v>200</v>
      </c>
      <c r="O80" s="30">
        <v>0.15</v>
      </c>
      <c r="P80" s="30">
        <v>0.15</v>
      </c>
      <c r="Q80" s="8">
        <v>160</v>
      </c>
      <c r="R80" s="4">
        <v>3.01</v>
      </c>
      <c r="S80" s="13">
        <v>1.1299999999999999</v>
      </c>
      <c r="T80" s="13">
        <v>0.08</v>
      </c>
      <c r="U80" s="32" t="s">
        <v>51</v>
      </c>
      <c r="V80" s="32" t="s">
        <v>55</v>
      </c>
    </row>
    <row r="81" spans="1:22">
      <c r="A81" t="s">
        <v>133</v>
      </c>
      <c r="B81" s="26">
        <v>2.6</v>
      </c>
      <c r="C81" s="26">
        <v>0.8</v>
      </c>
      <c r="D81" s="26">
        <v>1.1499999999999999</v>
      </c>
      <c r="E81" s="26">
        <v>6</v>
      </c>
      <c r="F81" s="13">
        <v>1.5</v>
      </c>
      <c r="G81" s="30">
        <v>1.5462712125904259</v>
      </c>
      <c r="H81" s="30">
        <v>2</v>
      </c>
      <c r="I81" s="30">
        <v>0.7617305812812506</v>
      </c>
      <c r="J81" s="30">
        <v>1</v>
      </c>
      <c r="K81" s="8">
        <v>100</v>
      </c>
      <c r="L81" s="8">
        <v>100</v>
      </c>
      <c r="M81" s="8">
        <v>250</v>
      </c>
      <c r="N81" s="8">
        <v>200</v>
      </c>
      <c r="O81" s="30">
        <v>0.15</v>
      </c>
      <c r="P81" s="30">
        <v>0.15</v>
      </c>
      <c r="Q81" s="8">
        <v>160</v>
      </c>
      <c r="R81" s="4">
        <v>3.01</v>
      </c>
      <c r="S81" s="13">
        <v>1.1299999999999999</v>
      </c>
      <c r="T81" s="13">
        <v>0.08</v>
      </c>
      <c r="U81" s="32" t="s">
        <v>51</v>
      </c>
      <c r="V81" s="32" t="s">
        <v>55</v>
      </c>
    </row>
    <row r="82" spans="1:22">
      <c r="A82" t="s">
        <v>134</v>
      </c>
      <c r="B82" s="26">
        <v>1</v>
      </c>
      <c r="C82" s="26">
        <v>1.3</v>
      </c>
      <c r="D82" s="26">
        <v>0.82</v>
      </c>
      <c r="E82" s="26">
        <v>4</v>
      </c>
      <c r="F82" s="13">
        <v>0.5</v>
      </c>
      <c r="G82" s="30">
        <v>1.344929110848887</v>
      </c>
      <c r="H82" s="30">
        <v>2</v>
      </c>
      <c r="I82" s="30">
        <v>0.92893973326981794</v>
      </c>
      <c r="J82" s="30">
        <v>1</v>
      </c>
      <c r="K82" s="8">
        <v>15</v>
      </c>
      <c r="L82" s="8">
        <v>30</v>
      </c>
      <c r="M82" s="8">
        <v>275</v>
      </c>
      <c r="N82" s="8">
        <v>275</v>
      </c>
      <c r="O82" s="30">
        <v>0.5</v>
      </c>
      <c r="P82" s="30">
        <v>0.5</v>
      </c>
      <c r="Q82" s="8">
        <v>385</v>
      </c>
      <c r="R82" s="4">
        <v>10.039999999999999</v>
      </c>
      <c r="S82" s="13">
        <v>17.54</v>
      </c>
      <c r="T82" s="13">
        <v>1.1200000000000001</v>
      </c>
      <c r="U82" s="32" t="s">
        <v>51</v>
      </c>
      <c r="V82" s="32" t="s">
        <v>41</v>
      </c>
    </row>
    <row r="83" spans="1:22">
      <c r="A83" t="s">
        <v>135</v>
      </c>
      <c r="B83" s="26">
        <v>2.5</v>
      </c>
      <c r="C83" s="26">
        <v>1.1000000000000001</v>
      </c>
      <c r="D83" s="26">
        <v>1.1100000000000001</v>
      </c>
      <c r="E83" s="26">
        <v>6</v>
      </c>
      <c r="F83" s="13">
        <v>0.5</v>
      </c>
      <c r="G83" s="30">
        <v>0.82457675191013202</v>
      </c>
      <c r="H83" s="30">
        <v>2</v>
      </c>
      <c r="I83" s="30">
        <v>0.29726071464634174</v>
      </c>
      <c r="J83" s="30">
        <v>1</v>
      </c>
      <c r="K83" s="8">
        <v>200</v>
      </c>
      <c r="L83" s="8">
        <v>200</v>
      </c>
      <c r="M83" s="8">
        <v>245</v>
      </c>
      <c r="N83" s="8">
        <v>155</v>
      </c>
      <c r="O83" s="30">
        <v>0.15</v>
      </c>
      <c r="P83" s="30">
        <v>0.15</v>
      </c>
      <c r="Q83" s="8">
        <v>2800</v>
      </c>
      <c r="R83" s="4" t="s">
        <v>46</v>
      </c>
      <c r="S83" s="13">
        <v>0.68</v>
      </c>
      <c r="T83" s="13">
        <v>0.14000000000000001</v>
      </c>
      <c r="U83" s="32" t="s">
        <v>47</v>
      </c>
      <c r="V83" s="32" t="s">
        <v>48</v>
      </c>
    </row>
    <row r="84" spans="1:22">
      <c r="A84" t="s">
        <v>136</v>
      </c>
      <c r="B84" s="26">
        <v>1.7</v>
      </c>
      <c r="C84" s="26">
        <v>1.1000000000000001</v>
      </c>
      <c r="D84" s="26">
        <v>1.06</v>
      </c>
      <c r="E84" s="26">
        <v>4</v>
      </c>
      <c r="F84" s="13">
        <v>0.5</v>
      </c>
      <c r="G84" s="30">
        <v>0.82457675191013202</v>
      </c>
      <c r="H84" s="30">
        <v>2</v>
      </c>
      <c r="I84" s="30">
        <v>0.29726071464634174</v>
      </c>
      <c r="J84" s="30">
        <v>1</v>
      </c>
      <c r="K84" s="8">
        <v>100</v>
      </c>
      <c r="L84" s="8">
        <v>100</v>
      </c>
      <c r="M84" s="8">
        <v>250</v>
      </c>
      <c r="N84" s="8">
        <v>250</v>
      </c>
      <c r="O84" s="30">
        <v>0.15</v>
      </c>
      <c r="P84" s="30">
        <v>0.15</v>
      </c>
      <c r="Q84" s="8">
        <v>120</v>
      </c>
      <c r="R84" s="4">
        <v>0</v>
      </c>
      <c r="S84" s="13">
        <v>0.68</v>
      </c>
      <c r="T84" s="13">
        <v>0.14000000000000001</v>
      </c>
      <c r="U84" s="32" t="s">
        <v>47</v>
      </c>
      <c r="V84" s="32" t="s">
        <v>48</v>
      </c>
    </row>
    <row r="85" spans="1:22">
      <c r="A85" t="s">
        <v>137</v>
      </c>
      <c r="B85" s="26">
        <v>1.2</v>
      </c>
      <c r="C85" s="26">
        <v>1.2</v>
      </c>
      <c r="D85" s="26">
        <v>0.88</v>
      </c>
      <c r="E85" s="26">
        <v>4</v>
      </c>
      <c r="F85" s="13">
        <v>0.5</v>
      </c>
      <c r="G85" s="30">
        <v>1.344929110848887</v>
      </c>
      <c r="H85" s="30">
        <v>2</v>
      </c>
      <c r="I85" s="30">
        <v>0.92893973326981794</v>
      </c>
      <c r="J85" s="30">
        <v>1</v>
      </c>
      <c r="K85" s="8">
        <v>15</v>
      </c>
      <c r="L85" s="8">
        <v>30</v>
      </c>
      <c r="M85" s="8">
        <v>275</v>
      </c>
      <c r="N85" s="8">
        <v>275</v>
      </c>
      <c r="O85" s="30">
        <v>0.5</v>
      </c>
      <c r="P85" s="30">
        <v>0.5</v>
      </c>
      <c r="Q85" s="8">
        <v>385</v>
      </c>
      <c r="R85" s="4">
        <v>10.039999999999999</v>
      </c>
      <c r="S85" s="13">
        <v>17.54</v>
      </c>
      <c r="T85" s="13">
        <v>1.1200000000000001</v>
      </c>
      <c r="U85" s="32" t="s">
        <v>51</v>
      </c>
      <c r="V85" s="32" t="s">
        <v>41</v>
      </c>
    </row>
    <row r="86" spans="1:22">
      <c r="A86" t="s">
        <v>138</v>
      </c>
      <c r="B86" s="26">
        <v>3</v>
      </c>
      <c r="C86" s="26">
        <v>1.4</v>
      </c>
      <c r="D86" s="26">
        <v>0.75</v>
      </c>
      <c r="E86" s="26">
        <v>6</v>
      </c>
      <c r="F86" s="13">
        <v>0.5</v>
      </c>
      <c r="G86" s="30">
        <v>0.82457675191013202</v>
      </c>
      <c r="H86" s="30">
        <v>2</v>
      </c>
      <c r="I86" s="30">
        <v>0.29726071464634174</v>
      </c>
      <c r="J86" s="30">
        <v>1</v>
      </c>
      <c r="K86" s="8">
        <v>200</v>
      </c>
      <c r="L86" s="8">
        <v>200</v>
      </c>
      <c r="M86" s="8">
        <v>245</v>
      </c>
      <c r="N86" s="8">
        <v>155</v>
      </c>
      <c r="O86" s="30">
        <v>0.15</v>
      </c>
      <c r="P86" s="30">
        <v>0.15</v>
      </c>
      <c r="Q86" s="8">
        <v>160</v>
      </c>
      <c r="R86" s="4">
        <v>3.01</v>
      </c>
      <c r="S86" s="13">
        <v>0.68</v>
      </c>
      <c r="T86" s="13">
        <v>0.14000000000000001</v>
      </c>
      <c r="U86" s="32" t="s">
        <v>51</v>
      </c>
      <c r="V86" s="32" t="s">
        <v>48</v>
      </c>
    </row>
    <row r="87" spans="1:22">
      <c r="A87" s="27" t="s">
        <v>139</v>
      </c>
      <c r="B87" s="26">
        <v>2.5</v>
      </c>
      <c r="C87" s="26">
        <v>1.1000000000000001</v>
      </c>
      <c r="D87" s="26">
        <v>1.28</v>
      </c>
      <c r="E87" s="26">
        <v>6</v>
      </c>
      <c r="F87" s="13">
        <v>1</v>
      </c>
      <c r="G87" s="30">
        <v>3.6390227184010162</v>
      </c>
      <c r="H87" s="30">
        <v>2</v>
      </c>
      <c r="I87" s="30">
        <v>2.7868191998094538</v>
      </c>
      <c r="J87" s="30">
        <v>1</v>
      </c>
      <c r="K87" s="8">
        <v>100</v>
      </c>
      <c r="L87" s="8">
        <v>100</v>
      </c>
      <c r="M87" s="8">
        <v>250</v>
      </c>
      <c r="N87" s="8">
        <v>200</v>
      </c>
      <c r="O87" s="30">
        <v>0.15</v>
      </c>
      <c r="P87" s="30">
        <v>0.15</v>
      </c>
      <c r="Q87" s="8">
        <v>2800</v>
      </c>
      <c r="R87" s="4" t="s">
        <v>46</v>
      </c>
      <c r="S87" s="13">
        <v>12.69</v>
      </c>
      <c r="T87" s="13">
        <v>0.28000000000000003</v>
      </c>
      <c r="U87" s="32" t="s">
        <v>47</v>
      </c>
      <c r="V87" s="32" t="s">
        <v>48</v>
      </c>
    </row>
    <row r="88" spans="1:22">
      <c r="A88" s="27" t="s">
        <v>140</v>
      </c>
      <c r="B88" s="26">
        <v>2.5</v>
      </c>
      <c r="C88" s="26">
        <v>1.1000000000000001</v>
      </c>
      <c r="D88" s="26">
        <v>1.81</v>
      </c>
      <c r="E88" s="26">
        <v>6</v>
      </c>
      <c r="F88" s="13">
        <v>1</v>
      </c>
      <c r="G88" s="30">
        <v>3.6390227184010162</v>
      </c>
      <c r="H88" s="30">
        <v>2</v>
      </c>
      <c r="I88" s="30">
        <v>2.7868191998094538</v>
      </c>
      <c r="J88" s="30">
        <v>1</v>
      </c>
      <c r="K88" s="8">
        <v>100</v>
      </c>
      <c r="L88" s="8">
        <v>100</v>
      </c>
      <c r="M88" s="8">
        <v>250</v>
      </c>
      <c r="N88" s="8">
        <v>200</v>
      </c>
      <c r="O88" s="30">
        <v>0.15</v>
      </c>
      <c r="P88" s="30">
        <v>0.15</v>
      </c>
      <c r="Q88" s="8">
        <v>2800</v>
      </c>
      <c r="R88" s="4" t="s">
        <v>46</v>
      </c>
      <c r="S88" s="13">
        <v>12.69</v>
      </c>
      <c r="T88" s="13">
        <v>0.28000000000000003</v>
      </c>
      <c r="U88" s="32" t="s">
        <v>47</v>
      </c>
      <c r="V88" s="32" t="s">
        <v>48</v>
      </c>
    </row>
    <row r="89" spans="1:22">
      <c r="A89" t="s">
        <v>141</v>
      </c>
      <c r="B89" s="26">
        <v>2.5</v>
      </c>
      <c r="C89" s="26">
        <v>1.1000000000000001</v>
      </c>
      <c r="D89" s="26">
        <v>0.6</v>
      </c>
      <c r="E89" s="26">
        <v>4</v>
      </c>
      <c r="F89" s="13">
        <v>3</v>
      </c>
      <c r="G89" s="30">
        <v>0.65443886603929946</v>
      </c>
      <c r="H89" s="30">
        <v>2</v>
      </c>
      <c r="I89" s="30">
        <v>0.54807444262919258</v>
      </c>
      <c r="J89" s="30">
        <v>1</v>
      </c>
      <c r="K89" s="8">
        <v>100</v>
      </c>
      <c r="L89" s="8">
        <v>100</v>
      </c>
      <c r="M89" s="8">
        <v>250</v>
      </c>
      <c r="N89" s="8">
        <v>250</v>
      </c>
      <c r="O89" s="30">
        <v>0.15</v>
      </c>
      <c r="P89" s="30">
        <v>0.15</v>
      </c>
      <c r="Q89" s="8">
        <v>2800</v>
      </c>
      <c r="R89" s="4" t="s">
        <v>46</v>
      </c>
      <c r="S89" s="13">
        <v>0.75</v>
      </c>
      <c r="T89" s="13">
        <v>0.12</v>
      </c>
      <c r="U89" s="32" t="s">
        <v>47</v>
      </c>
      <c r="V89" s="32" t="s">
        <v>48</v>
      </c>
    </row>
    <row r="90" spans="1:22">
      <c r="A90" t="s">
        <v>142</v>
      </c>
      <c r="B90" s="26">
        <v>1.4</v>
      </c>
      <c r="C90" s="26">
        <v>1.1000000000000001</v>
      </c>
      <c r="D90" s="26">
        <v>0.72</v>
      </c>
      <c r="E90" s="26">
        <v>4</v>
      </c>
      <c r="F90" s="13">
        <v>1.5</v>
      </c>
      <c r="G90" s="30">
        <v>1.2322651483339799</v>
      </c>
      <c r="H90" s="30">
        <v>2</v>
      </c>
      <c r="I90" s="30">
        <v>0.54807444262919258</v>
      </c>
      <c r="J90" s="30">
        <v>1</v>
      </c>
      <c r="K90" s="8">
        <v>100</v>
      </c>
      <c r="L90" s="8">
        <v>100</v>
      </c>
      <c r="M90" s="8">
        <v>250</v>
      </c>
      <c r="N90" s="8">
        <v>200</v>
      </c>
      <c r="O90" s="30">
        <v>0.15</v>
      </c>
      <c r="P90" s="30">
        <v>0.15</v>
      </c>
      <c r="Q90" s="8">
        <v>120</v>
      </c>
      <c r="R90" s="4" t="s">
        <v>96</v>
      </c>
      <c r="S90" s="13">
        <v>0.14000000000000001</v>
      </c>
      <c r="T90" s="13">
        <v>0.06</v>
      </c>
      <c r="U90" s="32" t="s">
        <v>51</v>
      </c>
      <c r="V90" s="32" t="s">
        <v>38</v>
      </c>
    </row>
    <row r="91" spans="1:22">
      <c r="A91" t="s">
        <v>143</v>
      </c>
      <c r="B91" s="26">
        <v>1.8</v>
      </c>
      <c r="C91" s="26">
        <v>1.2</v>
      </c>
      <c r="D91" s="26">
        <v>0.93</v>
      </c>
      <c r="E91" s="26">
        <v>4</v>
      </c>
      <c r="F91" s="13">
        <v>1.5</v>
      </c>
      <c r="G91" s="30">
        <v>1.2322651483339799</v>
      </c>
      <c r="H91" s="30">
        <v>2</v>
      </c>
      <c r="I91" s="30">
        <v>0.54807444262919258</v>
      </c>
      <c r="J91" s="30">
        <v>1</v>
      </c>
      <c r="K91" s="8">
        <v>50</v>
      </c>
      <c r="L91" s="8">
        <v>50</v>
      </c>
      <c r="M91" s="8">
        <v>250</v>
      </c>
      <c r="N91" s="8">
        <v>200</v>
      </c>
      <c r="O91" s="30">
        <v>0.15</v>
      </c>
      <c r="P91" s="30">
        <v>0.15</v>
      </c>
      <c r="Q91" s="8">
        <v>120</v>
      </c>
      <c r="R91" s="4" t="s">
        <v>96</v>
      </c>
      <c r="S91" s="13">
        <v>0.14000000000000001</v>
      </c>
      <c r="T91" s="13">
        <v>0.06</v>
      </c>
      <c r="U91" s="32" t="s">
        <v>51</v>
      </c>
      <c r="V91" s="32" t="s">
        <v>38</v>
      </c>
    </row>
    <row r="92" spans="1:22">
      <c r="A92" t="s">
        <v>144</v>
      </c>
      <c r="B92" s="26">
        <v>1.9</v>
      </c>
      <c r="C92" s="26">
        <v>1.7</v>
      </c>
      <c r="D92" s="26">
        <v>1.71</v>
      </c>
      <c r="E92" s="26">
        <v>4</v>
      </c>
      <c r="F92" s="13">
        <v>1.5</v>
      </c>
      <c r="G92" s="30">
        <v>1.2322651483339799</v>
      </c>
      <c r="H92" s="30">
        <v>2</v>
      </c>
      <c r="I92" s="30">
        <v>0.54807444262919258</v>
      </c>
      <c r="J92" s="30">
        <v>1</v>
      </c>
      <c r="K92" s="8">
        <v>100</v>
      </c>
      <c r="L92" s="8">
        <v>100</v>
      </c>
      <c r="M92" s="8">
        <v>250</v>
      </c>
      <c r="N92" s="8">
        <v>200</v>
      </c>
      <c r="O92" s="30">
        <v>0.15</v>
      </c>
      <c r="P92" s="30">
        <v>0.15</v>
      </c>
      <c r="Q92" s="8">
        <v>120</v>
      </c>
      <c r="R92" s="4" t="s">
        <v>96</v>
      </c>
      <c r="S92" s="13">
        <v>0.14000000000000001</v>
      </c>
      <c r="T92" s="13">
        <v>0.06</v>
      </c>
      <c r="U92" s="32" t="s">
        <v>51</v>
      </c>
      <c r="V92" s="32" t="s">
        <v>38</v>
      </c>
    </row>
    <row r="93" spans="1:22">
      <c r="A93" t="s">
        <v>145</v>
      </c>
      <c r="B93" s="26">
        <v>1.8</v>
      </c>
      <c r="C93" s="26">
        <v>1.3</v>
      </c>
      <c r="D93" s="26">
        <v>0.9</v>
      </c>
      <c r="E93" s="26">
        <v>4</v>
      </c>
      <c r="F93" s="13">
        <v>0.5</v>
      </c>
      <c r="G93" s="30">
        <v>0.82457675191013202</v>
      </c>
      <c r="H93" s="30">
        <v>2</v>
      </c>
      <c r="I93" s="30">
        <v>0.29726071464634174</v>
      </c>
      <c r="J93" s="30">
        <v>1</v>
      </c>
      <c r="K93" s="8">
        <v>100</v>
      </c>
      <c r="L93" s="8">
        <v>100</v>
      </c>
      <c r="M93" s="8">
        <v>250</v>
      </c>
      <c r="N93" s="8">
        <v>250</v>
      </c>
      <c r="O93" s="30">
        <v>0.15</v>
      </c>
      <c r="P93" s="30">
        <v>0.15</v>
      </c>
      <c r="Q93" s="8">
        <v>60</v>
      </c>
      <c r="R93" s="4" t="s">
        <v>45</v>
      </c>
      <c r="S93" s="13">
        <v>0.68</v>
      </c>
      <c r="T93" s="13">
        <v>0.14000000000000001</v>
      </c>
      <c r="U93" s="32" t="s">
        <v>51</v>
      </c>
      <c r="V93" s="32" t="s">
        <v>38</v>
      </c>
    </row>
    <row r="94" spans="1:22">
      <c r="A94" t="s">
        <v>146</v>
      </c>
      <c r="B94" s="26">
        <v>1.8</v>
      </c>
      <c r="C94" s="26">
        <v>1.3</v>
      </c>
      <c r="D94" s="26">
        <v>0.64</v>
      </c>
      <c r="E94" s="26">
        <v>6</v>
      </c>
      <c r="F94" s="13">
        <v>0.5</v>
      </c>
      <c r="G94" s="30">
        <v>0.82457675191013202</v>
      </c>
      <c r="H94" s="30">
        <v>2</v>
      </c>
      <c r="I94" s="30">
        <v>0.29726071464634174</v>
      </c>
      <c r="J94" s="30">
        <v>1</v>
      </c>
      <c r="K94" s="8">
        <v>100</v>
      </c>
      <c r="L94" s="8">
        <v>100</v>
      </c>
      <c r="M94" s="8">
        <v>250</v>
      </c>
      <c r="N94" s="8">
        <v>250</v>
      </c>
      <c r="O94" s="30">
        <v>0.15</v>
      </c>
      <c r="P94" s="30">
        <v>0.15</v>
      </c>
      <c r="Q94" s="8">
        <v>60</v>
      </c>
      <c r="R94" s="4" t="s">
        <v>45</v>
      </c>
      <c r="S94" s="13">
        <v>0.68</v>
      </c>
      <c r="T94" s="13">
        <v>0.14000000000000001</v>
      </c>
      <c r="U94" s="32" t="s">
        <v>51</v>
      </c>
      <c r="V94" s="32" t="s">
        <v>38</v>
      </c>
    </row>
    <row r="95" spans="1:22">
      <c r="A95" t="s">
        <v>147</v>
      </c>
      <c r="B95" s="26">
        <v>0.8</v>
      </c>
      <c r="C95" s="26">
        <v>1.1000000000000001</v>
      </c>
      <c r="D95" s="26">
        <v>2</v>
      </c>
      <c r="E95" s="26">
        <v>6</v>
      </c>
      <c r="F95" s="13">
        <v>0.5</v>
      </c>
      <c r="G95" s="30">
        <v>0.87943448827353443</v>
      </c>
      <c r="H95" s="30">
        <v>2</v>
      </c>
      <c r="I95" s="30">
        <v>0.54807444262919258</v>
      </c>
      <c r="J95" s="30">
        <v>1</v>
      </c>
      <c r="K95" s="8">
        <v>100</v>
      </c>
      <c r="L95" s="8">
        <v>100</v>
      </c>
      <c r="M95" s="8">
        <v>250</v>
      </c>
      <c r="N95" s="8">
        <v>250</v>
      </c>
      <c r="O95" s="30">
        <v>0.15</v>
      </c>
      <c r="P95" s="30">
        <v>0.15</v>
      </c>
      <c r="Q95" s="8">
        <v>60</v>
      </c>
      <c r="R95" s="4">
        <v>0.26</v>
      </c>
      <c r="S95" s="13">
        <v>0.14000000000000001</v>
      </c>
      <c r="T95" s="13">
        <v>0.03</v>
      </c>
      <c r="U95" s="32" t="s">
        <v>51</v>
      </c>
      <c r="V95" s="32" t="s">
        <v>38</v>
      </c>
    </row>
    <row r="96" spans="1:22">
      <c r="A96" t="s">
        <v>148</v>
      </c>
      <c r="B96" s="26">
        <v>1.2</v>
      </c>
      <c r="C96" s="26">
        <v>3.3</v>
      </c>
      <c r="D96" s="26">
        <v>0.52</v>
      </c>
      <c r="E96" s="26">
        <v>4</v>
      </c>
      <c r="F96" s="13">
        <v>0.5</v>
      </c>
      <c r="G96" s="30">
        <v>0.87943448827353443</v>
      </c>
      <c r="H96" s="30">
        <v>2</v>
      </c>
      <c r="I96" s="30">
        <v>0.54807444262919258</v>
      </c>
      <c r="J96" s="30">
        <v>1</v>
      </c>
      <c r="K96" s="8">
        <v>100</v>
      </c>
      <c r="L96" s="8">
        <v>100</v>
      </c>
      <c r="M96" s="8">
        <v>250</v>
      </c>
      <c r="N96" s="8">
        <v>250</v>
      </c>
      <c r="O96" s="30">
        <v>0.15</v>
      </c>
      <c r="P96" s="30">
        <v>0.15</v>
      </c>
      <c r="Q96" s="8">
        <v>60</v>
      </c>
      <c r="R96" s="4">
        <v>0.26</v>
      </c>
      <c r="S96" s="13">
        <v>0.14000000000000001</v>
      </c>
      <c r="T96" s="13">
        <v>0.03</v>
      </c>
      <c r="U96" s="32" t="s">
        <v>51</v>
      </c>
      <c r="V96" s="32" t="s">
        <v>38</v>
      </c>
    </row>
    <row r="97" spans="1:22">
      <c r="A97" t="s">
        <v>149</v>
      </c>
      <c r="B97" s="26">
        <v>1.2</v>
      </c>
      <c r="C97" s="26">
        <v>3.3</v>
      </c>
      <c r="D97" s="26">
        <v>0.75</v>
      </c>
      <c r="E97" s="26">
        <v>6</v>
      </c>
      <c r="F97" s="13">
        <v>0.5</v>
      </c>
      <c r="G97" s="30">
        <v>1.5795518328227458</v>
      </c>
      <c r="H97" s="30">
        <v>2</v>
      </c>
      <c r="I97" s="30">
        <v>0.54807444262919258</v>
      </c>
      <c r="J97" s="30">
        <v>1</v>
      </c>
      <c r="K97" s="8">
        <v>50</v>
      </c>
      <c r="L97" s="8">
        <v>50</v>
      </c>
      <c r="M97" s="8">
        <v>255</v>
      </c>
      <c r="N97" s="8">
        <v>475</v>
      </c>
      <c r="O97" s="30">
        <v>0.15</v>
      </c>
      <c r="P97" s="30">
        <v>0.15</v>
      </c>
      <c r="Q97" s="8">
        <v>60</v>
      </c>
      <c r="R97" s="4">
        <v>0.26</v>
      </c>
      <c r="S97" s="13">
        <v>0</v>
      </c>
      <c r="T97" s="13">
        <v>0</v>
      </c>
      <c r="U97" s="32" t="s">
        <v>51</v>
      </c>
      <c r="V97" s="32" t="s">
        <v>38</v>
      </c>
    </row>
    <row r="98" spans="1:22">
      <c r="A98" t="s">
        <v>150</v>
      </c>
      <c r="B98" s="26">
        <v>1.4</v>
      </c>
      <c r="C98" s="26">
        <v>1.2</v>
      </c>
      <c r="D98" s="26">
        <v>0.73</v>
      </c>
      <c r="E98" s="26">
        <v>4</v>
      </c>
      <c r="F98" s="13">
        <v>1</v>
      </c>
      <c r="G98" s="30">
        <v>0.71678044211605452</v>
      </c>
      <c r="H98" s="30">
        <v>2</v>
      </c>
      <c r="I98" s="30">
        <v>0.54807444262919258</v>
      </c>
      <c r="J98" s="30">
        <v>1</v>
      </c>
      <c r="K98" s="8">
        <v>15</v>
      </c>
      <c r="L98" s="8">
        <v>100</v>
      </c>
      <c r="M98" s="8">
        <v>275</v>
      </c>
      <c r="N98" s="8">
        <v>275</v>
      </c>
      <c r="O98" s="30">
        <v>0.5</v>
      </c>
      <c r="P98" s="30">
        <v>0.5</v>
      </c>
      <c r="Q98" s="8">
        <v>60</v>
      </c>
      <c r="R98" s="4">
        <v>0.26</v>
      </c>
      <c r="S98" s="13">
        <v>0.14000000000000001</v>
      </c>
      <c r="T98" s="13">
        <v>0.03</v>
      </c>
      <c r="U98" s="32" t="s">
        <v>51</v>
      </c>
      <c r="V98" s="32" t="s">
        <v>38</v>
      </c>
    </row>
    <row r="99" spans="1:22">
      <c r="A99" t="s">
        <v>151</v>
      </c>
      <c r="B99" s="26">
        <v>0.5</v>
      </c>
      <c r="C99" s="26">
        <v>0.5</v>
      </c>
      <c r="D99" s="26">
        <v>0.95</v>
      </c>
      <c r="E99" s="26">
        <v>6</v>
      </c>
      <c r="F99" s="13">
        <v>0.2</v>
      </c>
      <c r="G99" s="30">
        <v>0.21918336756668375</v>
      </c>
      <c r="H99" s="30">
        <v>2</v>
      </c>
      <c r="I99" s="30">
        <v>9.2893973326981794E-2</v>
      </c>
      <c r="J99" s="30">
        <v>1</v>
      </c>
      <c r="K99" s="8">
        <v>333</v>
      </c>
      <c r="L99" s="8">
        <v>750</v>
      </c>
      <c r="M99" s="8">
        <v>250</v>
      </c>
      <c r="N99" s="8">
        <v>250</v>
      </c>
      <c r="O99" s="30">
        <v>0.15</v>
      </c>
      <c r="P99" s="30">
        <v>0.15</v>
      </c>
      <c r="Q99" s="8">
        <v>0</v>
      </c>
      <c r="R99" s="4" t="s">
        <v>45</v>
      </c>
      <c r="S99" s="13">
        <v>0.31</v>
      </c>
      <c r="T99" s="13">
        <v>0.1</v>
      </c>
      <c r="U99" s="32" t="s">
        <v>51</v>
      </c>
      <c r="V99" s="32" t="s">
        <v>36</v>
      </c>
    </row>
    <row r="100" spans="1:22">
      <c r="A100" t="s">
        <v>152</v>
      </c>
      <c r="B100" s="26">
        <v>0.5</v>
      </c>
      <c r="C100" s="26">
        <v>0.5</v>
      </c>
      <c r="D100" s="26">
        <v>0.41</v>
      </c>
      <c r="E100" s="26" t="s">
        <v>120</v>
      </c>
      <c r="F100" s="13">
        <v>0.2</v>
      </c>
      <c r="G100" s="30">
        <v>0.5880142937132008</v>
      </c>
      <c r="H100" s="30">
        <v>2</v>
      </c>
      <c r="I100" s="30">
        <v>0.54807444262919258</v>
      </c>
      <c r="J100" s="30">
        <v>1</v>
      </c>
      <c r="K100" s="8">
        <v>100</v>
      </c>
      <c r="L100" s="8">
        <v>200</v>
      </c>
      <c r="M100" s="8">
        <v>250</v>
      </c>
      <c r="N100" s="8">
        <v>250</v>
      </c>
      <c r="O100" s="30">
        <v>0.15</v>
      </c>
      <c r="P100" s="30">
        <v>0.15</v>
      </c>
      <c r="Q100" s="8">
        <v>0</v>
      </c>
      <c r="R100" s="4">
        <v>0</v>
      </c>
      <c r="S100" s="13">
        <v>0</v>
      </c>
      <c r="T100" s="13">
        <v>0</v>
      </c>
      <c r="U100" s="32" t="s">
        <v>51</v>
      </c>
      <c r="V100" s="32" t="s">
        <v>36</v>
      </c>
    </row>
    <row r="101" spans="1:22">
      <c r="A101" t="s">
        <v>153</v>
      </c>
      <c r="B101" s="26">
        <v>6.2</v>
      </c>
      <c r="C101" s="26">
        <v>2.1</v>
      </c>
      <c r="D101" s="26">
        <v>1.29</v>
      </c>
      <c r="E101" s="26">
        <v>4</v>
      </c>
      <c r="F101" s="13">
        <v>1</v>
      </c>
      <c r="G101" s="30">
        <v>0.21918336756668375</v>
      </c>
      <c r="H101" s="30">
        <v>2</v>
      </c>
      <c r="I101" s="30">
        <v>9.2893973326981794E-2</v>
      </c>
      <c r="J101" s="30">
        <v>1</v>
      </c>
      <c r="K101" s="8">
        <v>100</v>
      </c>
      <c r="L101" s="8">
        <v>200</v>
      </c>
      <c r="M101" s="8">
        <v>250</v>
      </c>
      <c r="N101" s="8">
        <v>200</v>
      </c>
      <c r="O101" s="30">
        <v>0.15</v>
      </c>
      <c r="P101" s="30">
        <v>0.15</v>
      </c>
      <c r="Q101" s="8">
        <v>120</v>
      </c>
      <c r="R101" s="4" t="s">
        <v>45</v>
      </c>
      <c r="S101" s="13">
        <v>0.31</v>
      </c>
      <c r="T101" s="13">
        <v>0.1</v>
      </c>
      <c r="U101" s="32" t="s">
        <v>51</v>
      </c>
      <c r="V101" s="32" t="s">
        <v>36</v>
      </c>
    </row>
    <row r="102" spans="1:22">
      <c r="A102" t="s">
        <v>154</v>
      </c>
      <c r="B102" s="26">
        <v>0.8</v>
      </c>
      <c r="C102" s="26">
        <v>1.2</v>
      </c>
      <c r="D102" s="26">
        <v>0.95</v>
      </c>
      <c r="E102" s="26">
        <v>6</v>
      </c>
      <c r="F102" s="13">
        <v>0.2</v>
      </c>
      <c r="G102" s="30">
        <v>0.5880142937132008</v>
      </c>
      <c r="H102" s="30">
        <v>2</v>
      </c>
      <c r="I102" s="30">
        <v>0.54807444262919258</v>
      </c>
      <c r="J102" s="30">
        <v>1</v>
      </c>
      <c r="K102" s="8">
        <v>333</v>
      </c>
      <c r="L102" s="8">
        <v>750</v>
      </c>
      <c r="M102" s="8">
        <v>250</v>
      </c>
      <c r="N102" s="8">
        <v>250</v>
      </c>
      <c r="O102" s="30">
        <v>0.15</v>
      </c>
      <c r="P102" s="30">
        <v>0.15</v>
      </c>
      <c r="Q102" s="8">
        <v>0</v>
      </c>
      <c r="R102" s="4" t="s">
        <v>45</v>
      </c>
      <c r="S102" s="13">
        <v>0.31</v>
      </c>
      <c r="T102" s="13">
        <v>0.1</v>
      </c>
      <c r="U102" s="32" t="s">
        <v>51</v>
      </c>
      <c r="V102" s="32" t="s">
        <v>36</v>
      </c>
    </row>
    <row r="103" spans="1:22">
      <c r="A103" t="s">
        <v>155</v>
      </c>
      <c r="B103" s="26">
        <v>3</v>
      </c>
      <c r="C103" s="26">
        <v>1.7</v>
      </c>
      <c r="D103" s="26">
        <v>1.05</v>
      </c>
      <c r="E103" s="26">
        <v>4</v>
      </c>
      <c r="F103" s="13">
        <v>1</v>
      </c>
      <c r="G103" s="30">
        <v>0.21918336756668375</v>
      </c>
      <c r="H103" s="30">
        <v>2</v>
      </c>
      <c r="I103" s="30">
        <v>9.2893973326981794E-2</v>
      </c>
      <c r="J103" s="30">
        <v>1</v>
      </c>
      <c r="K103" s="8">
        <v>100</v>
      </c>
      <c r="L103" s="8">
        <v>200</v>
      </c>
      <c r="M103" s="8">
        <v>275</v>
      </c>
      <c r="N103" s="8">
        <v>475</v>
      </c>
      <c r="O103" s="30">
        <v>0.15</v>
      </c>
      <c r="P103" s="30">
        <v>0.15</v>
      </c>
      <c r="Q103" s="8">
        <v>120</v>
      </c>
      <c r="R103" s="4" t="s">
        <v>45</v>
      </c>
      <c r="S103" s="13">
        <v>0.31</v>
      </c>
      <c r="T103" s="13">
        <v>0.1</v>
      </c>
      <c r="U103" s="32" t="s">
        <v>51</v>
      </c>
      <c r="V103" s="32" t="s">
        <v>36</v>
      </c>
    </row>
    <row r="104" spans="1:22">
      <c r="A104" t="s">
        <v>156</v>
      </c>
      <c r="B104" s="26">
        <v>3</v>
      </c>
      <c r="C104" s="26">
        <v>1.7</v>
      </c>
      <c r="D104" s="26">
        <v>1.23</v>
      </c>
      <c r="E104" s="26">
        <v>4</v>
      </c>
      <c r="F104" s="13">
        <v>1</v>
      </c>
      <c r="G104" s="30">
        <v>0.21918336756668375</v>
      </c>
      <c r="H104" s="30">
        <v>2</v>
      </c>
      <c r="I104" s="30">
        <v>9.2893973326981794E-2</v>
      </c>
      <c r="J104" s="30">
        <v>1</v>
      </c>
      <c r="K104" s="8">
        <v>100</v>
      </c>
      <c r="L104" s="8">
        <v>200</v>
      </c>
      <c r="M104" s="8">
        <v>275</v>
      </c>
      <c r="N104" s="8">
        <v>475</v>
      </c>
      <c r="O104" s="30">
        <v>0.15</v>
      </c>
      <c r="P104" s="30">
        <v>0.15</v>
      </c>
      <c r="Q104" s="8">
        <v>120</v>
      </c>
      <c r="R104" s="4" t="s">
        <v>45</v>
      </c>
      <c r="S104" s="13">
        <v>0.31</v>
      </c>
      <c r="T104" s="13">
        <v>0.1</v>
      </c>
      <c r="U104" s="32" t="s">
        <v>51</v>
      </c>
      <c r="V104" s="32" t="s">
        <v>36</v>
      </c>
    </row>
    <row r="105" spans="1:22">
      <c r="A105" t="s">
        <v>157</v>
      </c>
      <c r="B105" s="26">
        <v>2.1</v>
      </c>
      <c r="C105" s="26">
        <v>1.2</v>
      </c>
      <c r="D105" s="26">
        <v>1.19</v>
      </c>
      <c r="E105" s="26">
        <v>4</v>
      </c>
      <c r="F105" s="13">
        <v>1</v>
      </c>
      <c r="G105" s="30">
        <v>0.21918336756668375</v>
      </c>
      <c r="H105" s="30">
        <v>2</v>
      </c>
      <c r="I105" s="30">
        <v>9.2893973326981794E-2</v>
      </c>
      <c r="J105" s="30">
        <v>1</v>
      </c>
      <c r="K105" s="8">
        <v>100</v>
      </c>
      <c r="L105" s="8">
        <v>200</v>
      </c>
      <c r="M105" s="8">
        <v>275</v>
      </c>
      <c r="N105" s="8">
        <v>475</v>
      </c>
      <c r="O105" s="30">
        <v>0.15</v>
      </c>
      <c r="P105" s="30">
        <v>0.15</v>
      </c>
      <c r="Q105" s="8">
        <v>120</v>
      </c>
      <c r="R105" s="4" t="s">
        <v>45</v>
      </c>
      <c r="S105" s="13">
        <v>0.31</v>
      </c>
      <c r="T105" s="13">
        <v>0.1</v>
      </c>
      <c r="U105" s="32" t="s">
        <v>51</v>
      </c>
      <c r="V105" s="32" t="s">
        <v>36</v>
      </c>
    </row>
    <row r="106" spans="1:22">
      <c r="A106" t="s">
        <v>158</v>
      </c>
      <c r="B106" s="26">
        <v>1.6</v>
      </c>
      <c r="C106" s="26">
        <v>1</v>
      </c>
      <c r="D106" s="26">
        <v>1.05</v>
      </c>
      <c r="E106" s="26">
        <v>6</v>
      </c>
      <c r="F106" s="13">
        <v>0.2</v>
      </c>
      <c r="G106" s="30">
        <v>0.87943448827353443</v>
      </c>
      <c r="H106" s="30">
        <v>2</v>
      </c>
      <c r="I106" s="30">
        <v>0.54807444262919258</v>
      </c>
      <c r="J106" s="30">
        <v>1</v>
      </c>
      <c r="K106" s="8">
        <v>333</v>
      </c>
      <c r="L106" s="8">
        <v>200</v>
      </c>
      <c r="M106" s="8">
        <v>275</v>
      </c>
      <c r="N106" s="8">
        <v>475</v>
      </c>
      <c r="O106" s="30">
        <v>0.15</v>
      </c>
      <c r="P106" s="30">
        <v>0.15</v>
      </c>
      <c r="Q106" s="8">
        <v>120</v>
      </c>
      <c r="R106" s="4">
        <v>3.01</v>
      </c>
      <c r="S106" s="13">
        <v>0.14000000000000001</v>
      </c>
      <c r="T106" s="13">
        <v>0.03</v>
      </c>
      <c r="U106" s="32" t="s">
        <v>51</v>
      </c>
      <c r="V106" s="32" t="s">
        <v>38</v>
      </c>
    </row>
    <row r="107" spans="1:22">
      <c r="A107" t="s">
        <v>159</v>
      </c>
      <c r="B107" s="26">
        <v>2.5</v>
      </c>
      <c r="C107" s="26">
        <v>1.7</v>
      </c>
      <c r="D107" s="26">
        <v>1.02</v>
      </c>
      <c r="E107" s="26">
        <v>6</v>
      </c>
      <c r="F107" s="13">
        <v>1.5</v>
      </c>
      <c r="G107" s="30">
        <v>0.84349251980894646</v>
      </c>
      <c r="H107" s="30">
        <v>2</v>
      </c>
      <c r="I107" s="30">
        <v>0.18578794665396359</v>
      </c>
      <c r="J107" s="30">
        <v>1</v>
      </c>
      <c r="K107" s="8">
        <v>15</v>
      </c>
      <c r="L107" s="8">
        <v>30</v>
      </c>
      <c r="M107" s="8">
        <v>250</v>
      </c>
      <c r="N107" s="8">
        <v>250</v>
      </c>
      <c r="O107" s="30">
        <v>0.5</v>
      </c>
      <c r="P107" s="30">
        <v>0.5</v>
      </c>
      <c r="Q107" s="8">
        <v>60</v>
      </c>
      <c r="R107" s="4">
        <v>0.26</v>
      </c>
      <c r="S107" s="13">
        <v>0.14000000000000001</v>
      </c>
      <c r="T107" s="13">
        <v>0.06</v>
      </c>
      <c r="U107" s="32" t="s">
        <v>51</v>
      </c>
      <c r="V107" s="32" t="s">
        <v>38</v>
      </c>
    </row>
    <row r="108" spans="1:22">
      <c r="A108" t="s">
        <v>160</v>
      </c>
      <c r="B108" s="26">
        <v>1.4</v>
      </c>
      <c r="C108" s="26" t="s">
        <v>45</v>
      </c>
      <c r="D108" s="26">
        <v>0.63</v>
      </c>
      <c r="E108" s="26">
        <v>6</v>
      </c>
      <c r="F108" s="13">
        <v>0.2</v>
      </c>
      <c r="G108" s="30">
        <v>0.22664987167546768</v>
      </c>
      <c r="H108" s="30">
        <v>2</v>
      </c>
      <c r="I108" s="30">
        <v>0.18578794665396359</v>
      </c>
      <c r="J108" s="30">
        <v>1</v>
      </c>
      <c r="K108" s="8">
        <v>333</v>
      </c>
      <c r="L108" s="8">
        <v>333</v>
      </c>
      <c r="M108" s="8">
        <v>275</v>
      </c>
      <c r="N108" s="8">
        <v>475</v>
      </c>
      <c r="O108" s="30">
        <v>0.15</v>
      </c>
      <c r="P108" s="30">
        <v>0.15</v>
      </c>
      <c r="Q108" s="8">
        <v>120</v>
      </c>
      <c r="R108" s="4">
        <v>0</v>
      </c>
      <c r="S108" s="13">
        <v>0</v>
      </c>
      <c r="T108" s="13">
        <v>0</v>
      </c>
      <c r="U108" s="32" t="s">
        <v>51</v>
      </c>
      <c r="V108" s="32" t="s">
        <v>83</v>
      </c>
    </row>
    <row r="109" spans="1:22">
      <c r="A109" s="27" t="s">
        <v>161</v>
      </c>
      <c r="B109" s="26">
        <v>1.4</v>
      </c>
      <c r="C109" s="26">
        <v>0.8</v>
      </c>
      <c r="D109" s="26">
        <v>0.63</v>
      </c>
      <c r="E109" s="26">
        <v>6</v>
      </c>
      <c r="F109" s="13">
        <v>0.2</v>
      </c>
      <c r="G109" s="30">
        <v>0.22664987167546768</v>
      </c>
      <c r="H109" s="30">
        <v>2</v>
      </c>
      <c r="I109" s="30">
        <v>0.18578794665396359</v>
      </c>
      <c r="J109" s="30">
        <v>1</v>
      </c>
      <c r="K109" s="8">
        <v>333</v>
      </c>
      <c r="L109" s="8">
        <v>333</v>
      </c>
      <c r="M109" s="8">
        <v>275</v>
      </c>
      <c r="N109" s="8">
        <v>475</v>
      </c>
      <c r="O109" s="30">
        <v>0.15</v>
      </c>
      <c r="P109" s="30">
        <v>0.15</v>
      </c>
      <c r="Q109" s="8">
        <v>120</v>
      </c>
      <c r="R109" s="4">
        <v>0</v>
      </c>
      <c r="S109" s="13">
        <v>0</v>
      </c>
      <c r="T109" s="13">
        <v>0</v>
      </c>
      <c r="U109" s="32" t="s">
        <v>51</v>
      </c>
      <c r="V109" s="32" t="s">
        <v>83</v>
      </c>
    </row>
    <row r="110" spans="1:22">
      <c r="A110" s="27" t="s">
        <v>162</v>
      </c>
      <c r="B110" s="26">
        <v>1.5</v>
      </c>
      <c r="C110" s="26">
        <v>1.1000000000000001</v>
      </c>
      <c r="D110" s="26">
        <v>1.1100000000000001</v>
      </c>
      <c r="E110" s="26">
        <v>8</v>
      </c>
      <c r="F110" s="13">
        <v>1.5</v>
      </c>
      <c r="G110" s="30">
        <v>2.301519290905464</v>
      </c>
      <c r="H110" s="30">
        <v>2</v>
      </c>
      <c r="I110" s="30">
        <v>0.771019978613949</v>
      </c>
      <c r="J110" s="30">
        <v>1</v>
      </c>
      <c r="K110" s="8">
        <v>100</v>
      </c>
      <c r="L110" s="8">
        <v>100</v>
      </c>
      <c r="M110" s="8">
        <v>250</v>
      </c>
      <c r="N110" s="8">
        <v>200</v>
      </c>
      <c r="O110" s="30">
        <v>0.15</v>
      </c>
      <c r="P110" s="30">
        <v>0.15</v>
      </c>
      <c r="Q110" s="8">
        <v>120</v>
      </c>
      <c r="R110" s="4">
        <v>1</v>
      </c>
      <c r="S110" s="13">
        <v>0.14000000000000001</v>
      </c>
      <c r="T110" s="13">
        <v>7.0000000000000007E-2</v>
      </c>
      <c r="U110" s="32" t="s">
        <v>51</v>
      </c>
      <c r="V110" s="32" t="s">
        <v>52</v>
      </c>
    </row>
    <row r="111" spans="1:22">
      <c r="A111" t="s">
        <v>163</v>
      </c>
      <c r="B111" s="26">
        <v>1.3</v>
      </c>
      <c r="C111" s="26">
        <v>1.1000000000000001</v>
      </c>
      <c r="D111" s="26">
        <v>0.98</v>
      </c>
      <c r="E111" s="26">
        <v>4</v>
      </c>
      <c r="F111" s="13">
        <v>1.5</v>
      </c>
      <c r="G111" s="30">
        <v>2.1655573107484138</v>
      </c>
      <c r="H111" s="30">
        <v>2</v>
      </c>
      <c r="I111" s="30">
        <v>0.771019978613949</v>
      </c>
      <c r="J111" s="30">
        <v>1</v>
      </c>
      <c r="K111" s="8">
        <v>100</v>
      </c>
      <c r="L111" s="8">
        <v>150</v>
      </c>
      <c r="M111" s="8">
        <v>250</v>
      </c>
      <c r="N111" s="8">
        <v>200</v>
      </c>
      <c r="O111" s="30">
        <v>0.15</v>
      </c>
      <c r="P111" s="30">
        <v>0.15</v>
      </c>
      <c r="Q111" s="8">
        <v>120</v>
      </c>
      <c r="R111" s="4">
        <v>1</v>
      </c>
      <c r="S111" s="13">
        <v>0.14000000000000001</v>
      </c>
      <c r="T111" s="13">
        <v>0.06</v>
      </c>
      <c r="U111" s="32" t="s">
        <v>51</v>
      </c>
      <c r="V111" s="32" t="s">
        <v>52</v>
      </c>
    </row>
    <row r="112" spans="1:22">
      <c r="A112" t="s">
        <v>164</v>
      </c>
      <c r="B112" s="26">
        <v>0.2</v>
      </c>
      <c r="C112" s="26">
        <v>0.2</v>
      </c>
      <c r="D112" s="26">
        <v>0.19</v>
      </c>
      <c r="E112" s="26">
        <v>4</v>
      </c>
      <c r="F112" s="13">
        <v>1.5</v>
      </c>
      <c r="G112" s="30">
        <v>0.5880142937132008</v>
      </c>
      <c r="H112" s="30">
        <v>2</v>
      </c>
      <c r="I112" s="30">
        <v>0.54807444262919258</v>
      </c>
      <c r="J112" s="30">
        <v>1</v>
      </c>
      <c r="K112" s="8">
        <v>100</v>
      </c>
      <c r="L112" s="8" t="s">
        <v>45</v>
      </c>
      <c r="M112" s="8">
        <v>250</v>
      </c>
      <c r="N112" s="8">
        <v>250</v>
      </c>
      <c r="O112" s="30">
        <v>0.15</v>
      </c>
      <c r="P112" s="30">
        <v>0.15</v>
      </c>
      <c r="Q112" s="8">
        <v>0</v>
      </c>
      <c r="R112" s="4">
        <v>0</v>
      </c>
      <c r="S112" s="13">
        <v>0</v>
      </c>
      <c r="T112" s="13">
        <v>0</v>
      </c>
      <c r="U112" s="32" t="s">
        <v>51</v>
      </c>
      <c r="V112" s="32" t="s">
        <v>69</v>
      </c>
    </row>
    <row r="113" spans="1:22">
      <c r="A113" t="s">
        <v>165</v>
      </c>
      <c r="B113" s="26">
        <v>1.9</v>
      </c>
      <c r="C113" s="26">
        <v>0.7</v>
      </c>
      <c r="D113" s="26">
        <v>0.43</v>
      </c>
      <c r="E113" s="26">
        <v>4</v>
      </c>
      <c r="F113" s="13">
        <v>1</v>
      </c>
      <c r="G113" s="30">
        <v>0.90752176393281336</v>
      </c>
      <c r="H113" s="30">
        <v>2</v>
      </c>
      <c r="I113" s="30">
        <v>0.54807444262919258</v>
      </c>
      <c r="J113" s="30">
        <v>1</v>
      </c>
      <c r="K113" s="8">
        <v>7</v>
      </c>
      <c r="L113" s="8">
        <v>9</v>
      </c>
      <c r="M113" s="8">
        <v>245</v>
      </c>
      <c r="N113" s="8">
        <v>105</v>
      </c>
      <c r="O113" s="30">
        <v>1.07</v>
      </c>
      <c r="P113" s="30">
        <v>1.07</v>
      </c>
      <c r="Q113" s="8">
        <v>60</v>
      </c>
      <c r="R113" s="4">
        <v>0.26</v>
      </c>
      <c r="S113" s="13">
        <v>0.14000000000000001</v>
      </c>
      <c r="T113" s="13">
        <v>0.03</v>
      </c>
      <c r="U113" s="32" t="s">
        <v>51</v>
      </c>
      <c r="V113" s="32" t="s">
        <v>38</v>
      </c>
    </row>
    <row r="114" spans="1:22">
      <c r="A114" t="s">
        <v>166</v>
      </c>
      <c r="B114" s="26">
        <v>1.4</v>
      </c>
      <c r="C114" s="26">
        <v>1.3</v>
      </c>
      <c r="D114" s="26">
        <v>1.34</v>
      </c>
      <c r="E114" s="26">
        <v>4</v>
      </c>
      <c r="F114" s="13">
        <v>1</v>
      </c>
      <c r="G114" s="30">
        <v>0.92840825116785408</v>
      </c>
      <c r="H114" s="30">
        <v>2</v>
      </c>
      <c r="I114" s="30">
        <v>0.14863035732317087</v>
      </c>
      <c r="J114" s="30">
        <v>1</v>
      </c>
      <c r="K114" s="8">
        <v>20</v>
      </c>
      <c r="L114" s="8">
        <v>20</v>
      </c>
      <c r="M114" s="8">
        <v>245</v>
      </c>
      <c r="N114" s="8">
        <v>155</v>
      </c>
      <c r="O114" s="30">
        <v>0.38</v>
      </c>
      <c r="P114" s="30">
        <v>0.38</v>
      </c>
      <c r="Q114" s="8">
        <v>120</v>
      </c>
      <c r="R114" s="4" t="s">
        <v>96</v>
      </c>
      <c r="S114" s="13">
        <v>0.14000000000000001</v>
      </c>
      <c r="T114" s="13">
        <v>0.06</v>
      </c>
      <c r="U114" s="32" t="s">
        <v>51</v>
      </c>
      <c r="V114" s="32" t="s">
        <v>78</v>
      </c>
    </row>
    <row r="115" spans="1:22">
      <c r="A115" t="s">
        <v>167</v>
      </c>
      <c r="B115" s="26" t="s">
        <v>45</v>
      </c>
      <c r="C115" s="26">
        <v>1.3</v>
      </c>
      <c r="D115" s="26">
        <v>1.07</v>
      </c>
      <c r="E115" s="26">
        <v>6</v>
      </c>
      <c r="F115" s="13">
        <v>0.5</v>
      </c>
      <c r="G115" s="30">
        <v>1.5233804096942862</v>
      </c>
      <c r="H115" s="30">
        <v>2</v>
      </c>
      <c r="I115" s="30">
        <v>0.92893973326981794</v>
      </c>
      <c r="J115" s="30">
        <v>1</v>
      </c>
      <c r="K115" s="8">
        <v>15</v>
      </c>
      <c r="L115" s="8">
        <v>15</v>
      </c>
      <c r="M115" s="8">
        <v>275</v>
      </c>
      <c r="N115" s="8">
        <v>275</v>
      </c>
      <c r="O115" s="30">
        <v>0.5</v>
      </c>
      <c r="P115" s="30">
        <v>0.5</v>
      </c>
      <c r="Q115" s="8">
        <v>385</v>
      </c>
      <c r="R115" s="4">
        <v>10.039999999999999</v>
      </c>
      <c r="S115" s="13">
        <v>17.54</v>
      </c>
      <c r="T115" s="13">
        <v>1.1200000000000001</v>
      </c>
      <c r="U115" s="32" t="s">
        <v>51</v>
      </c>
      <c r="V115" s="32" t="s">
        <v>41</v>
      </c>
    </row>
    <row r="116" spans="1:22">
      <c r="A116" t="s">
        <v>168</v>
      </c>
      <c r="B116" s="26">
        <v>1.7</v>
      </c>
      <c r="C116" s="26">
        <v>1.2</v>
      </c>
      <c r="D116" s="26">
        <v>0.94</v>
      </c>
      <c r="E116" s="26">
        <v>4</v>
      </c>
      <c r="F116" s="13">
        <v>0.2</v>
      </c>
      <c r="G116" s="30">
        <v>1.1697122808229019</v>
      </c>
      <c r="H116" s="30">
        <v>2</v>
      </c>
      <c r="I116" s="30">
        <v>0.54807444262919258</v>
      </c>
      <c r="J116" s="30">
        <v>1</v>
      </c>
      <c r="K116" s="8">
        <v>100</v>
      </c>
      <c r="L116" s="8">
        <v>100</v>
      </c>
      <c r="M116" s="8">
        <v>250</v>
      </c>
      <c r="N116" s="8">
        <v>250</v>
      </c>
      <c r="O116" s="30">
        <v>0.15</v>
      </c>
      <c r="P116" s="30">
        <v>0.15</v>
      </c>
      <c r="Q116" s="8">
        <v>0</v>
      </c>
      <c r="R116" s="4">
        <v>0</v>
      </c>
      <c r="S116" s="13">
        <v>0.31</v>
      </c>
      <c r="T116" s="13">
        <v>0.1</v>
      </c>
      <c r="U116" s="32" t="s">
        <v>51</v>
      </c>
      <c r="V116" s="32" t="s">
        <v>52</v>
      </c>
    </row>
    <row r="117" spans="1:22">
      <c r="A117" t="s">
        <v>169</v>
      </c>
      <c r="B117" s="26">
        <v>1.7</v>
      </c>
      <c r="C117" s="26">
        <v>1.2</v>
      </c>
      <c r="D117" s="26">
        <v>1.53</v>
      </c>
      <c r="E117" s="26">
        <v>4</v>
      </c>
      <c r="F117" s="13">
        <v>0.5</v>
      </c>
      <c r="G117" s="30">
        <v>0.33076917163320102</v>
      </c>
      <c r="H117" s="30">
        <v>2</v>
      </c>
      <c r="I117" s="30">
        <v>0.54807444262919258</v>
      </c>
      <c r="J117" s="30">
        <v>0.4</v>
      </c>
      <c r="K117" s="8">
        <v>100</v>
      </c>
      <c r="L117" s="8">
        <v>100</v>
      </c>
      <c r="M117" s="8">
        <v>275</v>
      </c>
      <c r="N117" s="8">
        <v>475</v>
      </c>
      <c r="O117" s="30">
        <v>0.15</v>
      </c>
      <c r="P117" s="30">
        <v>0.15</v>
      </c>
      <c r="Q117" s="8">
        <v>0</v>
      </c>
      <c r="R117" s="4">
        <v>0</v>
      </c>
      <c r="S117" s="13">
        <v>0.14000000000000001</v>
      </c>
      <c r="T117" s="13">
        <v>0.03</v>
      </c>
      <c r="U117" s="32" t="s">
        <v>51</v>
      </c>
      <c r="V117" s="32" t="s">
        <v>38</v>
      </c>
    </row>
    <row r="118" spans="1:22">
      <c r="A118" t="s">
        <v>170</v>
      </c>
      <c r="B118" s="26">
        <v>2.2999999999999998</v>
      </c>
      <c r="C118" s="26">
        <v>0.9</v>
      </c>
      <c r="D118" s="26">
        <v>0.64</v>
      </c>
      <c r="E118" s="26">
        <v>4</v>
      </c>
      <c r="F118" s="13">
        <v>0.5</v>
      </c>
      <c r="G118" s="30">
        <v>0.33076917163320102</v>
      </c>
      <c r="H118" s="30">
        <v>2</v>
      </c>
      <c r="I118" s="30">
        <v>0.54807444262919258</v>
      </c>
      <c r="J118" s="30">
        <v>0.4</v>
      </c>
      <c r="K118" s="8">
        <v>7</v>
      </c>
      <c r="L118" s="8">
        <v>9</v>
      </c>
      <c r="M118" s="8">
        <v>245</v>
      </c>
      <c r="N118" s="8">
        <v>105</v>
      </c>
      <c r="O118" s="30">
        <v>1.07</v>
      </c>
      <c r="P118" s="30">
        <v>1.07</v>
      </c>
      <c r="Q118" s="8">
        <v>60</v>
      </c>
      <c r="R118" s="4">
        <v>0.26</v>
      </c>
      <c r="S118" s="13">
        <v>0.14000000000000001</v>
      </c>
      <c r="T118" s="13">
        <v>0.03</v>
      </c>
      <c r="U118" s="32" t="s">
        <v>51</v>
      </c>
      <c r="V118" s="32" t="s">
        <v>38</v>
      </c>
    </row>
    <row r="119" spans="1:22" s="25" customFormat="1" ht="13.5" thickBot="1">
      <c r="A119" t="s">
        <v>171</v>
      </c>
      <c r="B119" s="26">
        <v>2.2999999999999998</v>
      </c>
      <c r="C119" s="26">
        <v>0.9</v>
      </c>
      <c r="D119" s="26">
        <v>1.53</v>
      </c>
      <c r="E119" s="26">
        <v>4</v>
      </c>
      <c r="F119" s="13">
        <v>1</v>
      </c>
      <c r="G119" s="30">
        <v>0.33076917163320102</v>
      </c>
      <c r="H119" s="30">
        <v>2</v>
      </c>
      <c r="I119" s="30">
        <v>0.54807444262919258</v>
      </c>
      <c r="J119" s="30">
        <v>0.4</v>
      </c>
      <c r="K119" s="8">
        <v>100</v>
      </c>
      <c r="L119" s="8">
        <v>100</v>
      </c>
      <c r="M119" s="8">
        <v>275</v>
      </c>
      <c r="N119" s="8">
        <v>475</v>
      </c>
      <c r="O119" s="30">
        <v>1.07</v>
      </c>
      <c r="P119" s="30">
        <v>1.07</v>
      </c>
      <c r="Q119" s="8">
        <v>60</v>
      </c>
      <c r="R119" s="4">
        <v>0.26</v>
      </c>
      <c r="S119" s="13">
        <v>0.14000000000000001</v>
      </c>
      <c r="T119" s="13">
        <v>0.03</v>
      </c>
      <c r="U119" s="32" t="s">
        <v>51</v>
      </c>
      <c r="V119" s="32" t="s">
        <v>38</v>
      </c>
    </row>
    <row r="120" spans="1:22">
      <c r="A120" t="s">
        <v>172</v>
      </c>
      <c r="B120" s="26">
        <v>1</v>
      </c>
      <c r="C120" s="26">
        <v>0.9</v>
      </c>
      <c r="D120" s="26">
        <v>0.98</v>
      </c>
      <c r="E120" s="26">
        <v>8</v>
      </c>
      <c r="F120" s="13">
        <v>0.5</v>
      </c>
      <c r="G120" s="30">
        <v>1.5795518328227458</v>
      </c>
      <c r="H120" s="30">
        <v>2</v>
      </c>
      <c r="I120" s="30">
        <v>0.54807444262919258</v>
      </c>
      <c r="J120" s="30">
        <v>1</v>
      </c>
      <c r="K120" s="8">
        <v>7</v>
      </c>
      <c r="L120" s="8">
        <v>9</v>
      </c>
      <c r="M120" s="8">
        <v>245</v>
      </c>
      <c r="N120" s="8">
        <v>105</v>
      </c>
      <c r="O120" s="30">
        <v>1.07</v>
      </c>
      <c r="P120" s="30">
        <v>1.07</v>
      </c>
      <c r="Q120" s="8">
        <v>60</v>
      </c>
      <c r="R120" s="4">
        <v>0.26</v>
      </c>
      <c r="S120" s="13">
        <v>0</v>
      </c>
      <c r="T120" s="13">
        <v>0</v>
      </c>
      <c r="U120" s="32" t="s">
        <v>51</v>
      </c>
      <c r="V120" s="32" t="s">
        <v>38</v>
      </c>
    </row>
    <row r="121" spans="1:22">
      <c r="A121" t="s">
        <v>173</v>
      </c>
      <c r="B121" s="26">
        <v>0.8</v>
      </c>
      <c r="C121" s="26">
        <v>0.6</v>
      </c>
      <c r="D121" s="26">
        <v>0.87</v>
      </c>
      <c r="E121" s="26">
        <v>8</v>
      </c>
      <c r="F121" s="13">
        <v>0.5</v>
      </c>
      <c r="G121" s="30">
        <v>1.5795518328227458</v>
      </c>
      <c r="H121" s="30">
        <v>2</v>
      </c>
      <c r="I121" s="30">
        <v>0.54807444262919258</v>
      </c>
      <c r="J121" s="30">
        <v>1</v>
      </c>
      <c r="K121" s="8">
        <v>50</v>
      </c>
      <c r="L121" s="8">
        <v>50</v>
      </c>
      <c r="M121" s="8">
        <v>255</v>
      </c>
      <c r="N121" s="8">
        <v>475</v>
      </c>
      <c r="O121" s="30">
        <v>0.15</v>
      </c>
      <c r="P121" s="30">
        <v>0.15</v>
      </c>
      <c r="Q121" s="8">
        <v>385</v>
      </c>
      <c r="R121" s="4" t="s">
        <v>45</v>
      </c>
      <c r="S121" s="13">
        <v>0</v>
      </c>
      <c r="T121" s="13">
        <v>0</v>
      </c>
      <c r="U121" s="32" t="s">
        <v>51</v>
      </c>
      <c r="V121" s="32" t="s">
        <v>174</v>
      </c>
    </row>
    <row r="122" spans="1:22">
      <c r="A122" t="s">
        <v>175</v>
      </c>
      <c r="B122" s="26">
        <v>1.8</v>
      </c>
      <c r="C122" s="26">
        <v>1.7</v>
      </c>
      <c r="D122" s="26">
        <v>1.1000000000000001</v>
      </c>
      <c r="E122" s="26">
        <v>4</v>
      </c>
      <c r="F122" s="13">
        <v>1</v>
      </c>
      <c r="G122" s="30">
        <v>1.0087505659990588</v>
      </c>
      <c r="H122" s="30">
        <v>2</v>
      </c>
      <c r="I122" s="30">
        <v>0.34370770130983264</v>
      </c>
      <c r="J122" s="30">
        <v>1</v>
      </c>
      <c r="K122" s="8">
        <v>30</v>
      </c>
      <c r="L122" s="8">
        <v>60</v>
      </c>
      <c r="M122" s="8">
        <v>250</v>
      </c>
      <c r="N122" s="8">
        <v>200</v>
      </c>
      <c r="O122" s="30">
        <v>0.25</v>
      </c>
      <c r="P122" s="30">
        <v>0.25</v>
      </c>
      <c r="Q122" s="8">
        <v>120</v>
      </c>
      <c r="R122" s="4">
        <v>5.0199999999999996</v>
      </c>
      <c r="S122" s="13">
        <v>0</v>
      </c>
      <c r="T122" s="13">
        <v>0</v>
      </c>
      <c r="U122" s="32" t="s">
        <v>51</v>
      </c>
      <c r="V122" s="32" t="s">
        <v>174</v>
      </c>
    </row>
    <row r="123" spans="1:22">
      <c r="A123" s="27" t="s">
        <v>176</v>
      </c>
      <c r="B123" s="26" t="s">
        <v>177</v>
      </c>
      <c r="C123" s="26">
        <v>1.7</v>
      </c>
      <c r="D123" s="26">
        <v>1.68</v>
      </c>
      <c r="E123" s="26">
        <v>6</v>
      </c>
      <c r="F123" s="13">
        <v>0.5</v>
      </c>
      <c r="G123" s="30">
        <v>0.64632263586948047</v>
      </c>
      <c r="H123" s="30">
        <v>2</v>
      </c>
      <c r="I123" s="30">
        <v>0.34370770130983264</v>
      </c>
      <c r="J123" s="30">
        <v>1</v>
      </c>
      <c r="K123" s="8">
        <v>30</v>
      </c>
      <c r="L123" s="8">
        <v>60</v>
      </c>
      <c r="M123" s="8">
        <v>250</v>
      </c>
      <c r="N123" s="8">
        <v>250</v>
      </c>
      <c r="O123" s="30">
        <v>0.25</v>
      </c>
      <c r="P123" s="30">
        <v>0.25</v>
      </c>
      <c r="Q123" s="8">
        <v>120</v>
      </c>
      <c r="R123" s="4" t="s">
        <v>45</v>
      </c>
      <c r="S123" s="13">
        <v>0.1</v>
      </c>
      <c r="T123" s="13">
        <v>0.15</v>
      </c>
      <c r="U123" s="32" t="s">
        <v>68</v>
      </c>
      <c r="V123" s="32" t="s">
        <v>174</v>
      </c>
    </row>
    <row r="124" spans="1:22">
      <c r="A124" t="s">
        <v>178</v>
      </c>
      <c r="B124" s="26">
        <v>0.5</v>
      </c>
      <c r="C124" s="26">
        <v>0.4</v>
      </c>
      <c r="D124" s="26">
        <v>0.43</v>
      </c>
      <c r="E124" s="26">
        <v>4</v>
      </c>
      <c r="F124" s="13">
        <v>1</v>
      </c>
      <c r="G124" s="30">
        <v>0.90752176393281336</v>
      </c>
      <c r="H124" s="30">
        <v>2</v>
      </c>
      <c r="I124" s="30">
        <v>0.54807444262919258</v>
      </c>
      <c r="J124" s="30">
        <v>1</v>
      </c>
      <c r="K124" s="8">
        <v>7</v>
      </c>
      <c r="L124" s="8">
        <v>9</v>
      </c>
      <c r="M124" s="8">
        <v>245</v>
      </c>
      <c r="N124" s="8">
        <v>105</v>
      </c>
      <c r="O124" s="30">
        <v>1.07</v>
      </c>
      <c r="P124" s="30">
        <v>1.07</v>
      </c>
      <c r="Q124" s="8">
        <v>60</v>
      </c>
      <c r="R124" s="4">
        <v>0.26</v>
      </c>
      <c r="S124" s="13">
        <v>0.14000000000000001</v>
      </c>
      <c r="T124" s="13">
        <v>0.03</v>
      </c>
      <c r="U124" s="32" t="s">
        <v>51</v>
      </c>
      <c r="V124" s="32" t="s">
        <v>38</v>
      </c>
    </row>
    <row r="125" spans="1:22">
      <c r="A125" t="s">
        <v>179</v>
      </c>
      <c r="B125" s="26">
        <v>4.3</v>
      </c>
      <c r="C125" s="26">
        <v>2.2999999999999998</v>
      </c>
      <c r="D125" s="26">
        <v>0.72</v>
      </c>
      <c r="E125" s="26">
        <v>4</v>
      </c>
      <c r="F125" s="13">
        <v>1</v>
      </c>
      <c r="G125" s="30">
        <v>0.87943448827353443</v>
      </c>
      <c r="H125" s="30">
        <v>2</v>
      </c>
      <c r="I125" s="30">
        <v>0.54807444262919258</v>
      </c>
      <c r="J125" s="30">
        <v>1</v>
      </c>
      <c r="K125" s="8">
        <v>30</v>
      </c>
      <c r="L125" s="8">
        <v>100</v>
      </c>
      <c r="M125" s="8">
        <v>250</v>
      </c>
      <c r="N125" s="8">
        <v>200</v>
      </c>
      <c r="O125" s="30">
        <v>0.25</v>
      </c>
      <c r="P125" s="30">
        <v>0.25</v>
      </c>
      <c r="Q125" s="8">
        <v>120</v>
      </c>
      <c r="R125" s="4">
        <v>0.61</v>
      </c>
      <c r="S125" s="13">
        <v>0.14000000000000001</v>
      </c>
      <c r="T125" s="13">
        <v>0.03</v>
      </c>
      <c r="U125" s="32" t="s">
        <v>68</v>
      </c>
      <c r="V125" s="32" t="s">
        <v>38</v>
      </c>
    </row>
    <row r="126" spans="1:22">
      <c r="A126" t="s">
        <v>180</v>
      </c>
      <c r="B126" s="26">
        <v>4.3</v>
      </c>
      <c r="C126" s="26">
        <v>2.2999999999999998</v>
      </c>
      <c r="D126" s="26">
        <v>1.2</v>
      </c>
      <c r="E126" s="26">
        <v>4</v>
      </c>
      <c r="F126" s="13">
        <v>1</v>
      </c>
      <c r="G126" s="30">
        <v>0.87943448827353443</v>
      </c>
      <c r="H126" s="30">
        <v>2</v>
      </c>
      <c r="I126" s="30">
        <v>0.54807444262919258</v>
      </c>
      <c r="J126" s="30">
        <v>1</v>
      </c>
      <c r="K126" s="8">
        <v>30</v>
      </c>
      <c r="L126" s="8">
        <v>100</v>
      </c>
      <c r="M126" s="8">
        <v>250</v>
      </c>
      <c r="N126" s="8">
        <v>200</v>
      </c>
      <c r="O126" s="30">
        <v>0.25</v>
      </c>
      <c r="P126" s="30">
        <v>0.25</v>
      </c>
      <c r="Q126" s="8">
        <v>120</v>
      </c>
      <c r="R126" s="4">
        <v>0.61</v>
      </c>
      <c r="S126" s="13">
        <v>0.14000000000000001</v>
      </c>
      <c r="T126" s="13">
        <v>0.03</v>
      </c>
      <c r="U126" s="32" t="s">
        <v>68</v>
      </c>
      <c r="V126" s="32" t="s">
        <v>38</v>
      </c>
    </row>
    <row r="127" spans="1:22">
      <c r="A127" t="s">
        <v>181</v>
      </c>
      <c r="B127" s="26">
        <v>4.3</v>
      </c>
      <c r="C127" s="26">
        <v>2.2999999999999998</v>
      </c>
      <c r="D127" s="26">
        <v>1.92</v>
      </c>
      <c r="E127" s="26">
        <v>4</v>
      </c>
      <c r="F127" s="13">
        <v>1</v>
      </c>
      <c r="G127" s="30">
        <v>0.87943448827353443</v>
      </c>
      <c r="H127" s="30">
        <v>2</v>
      </c>
      <c r="I127" s="30">
        <v>0.54807444262919258</v>
      </c>
      <c r="J127" s="30">
        <v>1</v>
      </c>
      <c r="K127" s="8">
        <v>30</v>
      </c>
      <c r="L127" s="8">
        <v>100</v>
      </c>
      <c r="M127" s="8">
        <v>250</v>
      </c>
      <c r="N127" s="8">
        <v>200</v>
      </c>
      <c r="O127" s="30">
        <v>0.25</v>
      </c>
      <c r="P127" s="30">
        <v>0.25</v>
      </c>
      <c r="Q127" s="8">
        <v>120</v>
      </c>
      <c r="R127" s="4">
        <v>0.61</v>
      </c>
      <c r="S127" s="13">
        <v>0.14000000000000001</v>
      </c>
      <c r="T127" s="13">
        <v>0.03</v>
      </c>
      <c r="U127" s="32" t="s">
        <v>68</v>
      </c>
      <c r="V127" s="32" t="s">
        <v>38</v>
      </c>
    </row>
    <row r="128" spans="1:22">
      <c r="A128" t="s">
        <v>182</v>
      </c>
      <c r="B128" s="26">
        <v>4.3</v>
      </c>
      <c r="C128" s="26">
        <v>2.2999999999999998</v>
      </c>
      <c r="D128" s="26">
        <v>3.01</v>
      </c>
      <c r="E128" s="26">
        <v>4</v>
      </c>
      <c r="F128" s="13">
        <v>1</v>
      </c>
      <c r="G128" s="30">
        <v>0.87943448827353443</v>
      </c>
      <c r="H128" s="30">
        <v>2</v>
      </c>
      <c r="I128" s="30">
        <v>0.54807444262919258</v>
      </c>
      <c r="J128" s="30">
        <v>1</v>
      </c>
      <c r="K128" s="8">
        <v>30</v>
      </c>
      <c r="L128" s="8">
        <v>100</v>
      </c>
      <c r="M128" s="8">
        <v>250</v>
      </c>
      <c r="N128" s="8">
        <v>200</v>
      </c>
      <c r="O128" s="30">
        <v>0.25</v>
      </c>
      <c r="P128" s="30">
        <v>0.25</v>
      </c>
      <c r="Q128" s="8">
        <v>120</v>
      </c>
      <c r="R128" s="4">
        <v>0.61</v>
      </c>
      <c r="S128" s="13">
        <v>0.14000000000000001</v>
      </c>
      <c r="T128" s="13">
        <v>0.03</v>
      </c>
      <c r="U128" s="32" t="s">
        <v>68</v>
      </c>
      <c r="V128" s="32" t="s">
        <v>38</v>
      </c>
    </row>
    <row r="129" spans="1:22">
      <c r="A129" t="s">
        <v>183</v>
      </c>
      <c r="B129" s="26">
        <v>1.9</v>
      </c>
      <c r="C129" s="26">
        <v>1.4</v>
      </c>
      <c r="D129" s="26">
        <v>0.72</v>
      </c>
      <c r="E129" s="26">
        <v>4</v>
      </c>
      <c r="F129" s="13">
        <v>1</v>
      </c>
      <c r="G129" s="30">
        <v>0.87943448827353443</v>
      </c>
      <c r="H129" s="30">
        <v>2</v>
      </c>
      <c r="I129" s="30">
        <v>0.54807444262919258</v>
      </c>
      <c r="J129" s="30">
        <v>1</v>
      </c>
      <c r="K129" s="8">
        <v>7</v>
      </c>
      <c r="L129" s="8">
        <v>9</v>
      </c>
      <c r="M129" s="8">
        <v>245</v>
      </c>
      <c r="N129" s="8">
        <v>105</v>
      </c>
      <c r="O129" s="30">
        <v>1.07</v>
      </c>
      <c r="P129" s="30">
        <v>1.07</v>
      </c>
      <c r="Q129" s="8">
        <v>60</v>
      </c>
      <c r="R129" s="4">
        <v>0.26</v>
      </c>
      <c r="S129" s="13">
        <v>0.14000000000000001</v>
      </c>
      <c r="T129" s="13">
        <v>0.03</v>
      </c>
      <c r="U129" s="32" t="s">
        <v>51</v>
      </c>
      <c r="V129" s="32" t="s">
        <v>38</v>
      </c>
    </row>
    <row r="130" spans="1:22">
      <c r="A130" t="s">
        <v>184</v>
      </c>
      <c r="B130" s="26">
        <v>3.8</v>
      </c>
      <c r="C130" s="26">
        <v>2.7</v>
      </c>
      <c r="D130" s="26">
        <v>2.68</v>
      </c>
      <c r="E130" s="26">
        <v>4</v>
      </c>
      <c r="F130" s="13">
        <v>1</v>
      </c>
      <c r="G130" s="30">
        <v>0.87943448827353443</v>
      </c>
      <c r="H130" s="30">
        <v>2</v>
      </c>
      <c r="I130" s="30">
        <v>0.54807444262919258</v>
      </c>
      <c r="J130" s="30">
        <v>1</v>
      </c>
      <c r="K130" s="8">
        <v>7</v>
      </c>
      <c r="L130" s="8">
        <v>9</v>
      </c>
      <c r="M130" s="8">
        <v>245</v>
      </c>
      <c r="N130" s="8">
        <v>105</v>
      </c>
      <c r="O130" s="30">
        <v>1.07</v>
      </c>
      <c r="P130" s="30">
        <v>1.07</v>
      </c>
      <c r="Q130" s="8">
        <v>60</v>
      </c>
      <c r="R130" s="4">
        <v>0.26</v>
      </c>
      <c r="S130" s="13">
        <v>0.14000000000000001</v>
      </c>
      <c r="T130" s="13">
        <v>0.03</v>
      </c>
      <c r="U130" s="32" t="s">
        <v>51</v>
      </c>
      <c r="V130" s="32" t="s">
        <v>38</v>
      </c>
    </row>
    <row r="131" spans="1:22">
      <c r="A131" t="s">
        <v>185</v>
      </c>
      <c r="B131" s="26">
        <v>0.9</v>
      </c>
      <c r="C131" s="26">
        <v>0.6</v>
      </c>
      <c r="D131" s="26">
        <v>0.69</v>
      </c>
      <c r="E131" s="26">
        <v>10</v>
      </c>
      <c r="F131" s="13">
        <v>1</v>
      </c>
      <c r="G131" s="30">
        <v>0.5880142937132008</v>
      </c>
      <c r="H131" s="30">
        <v>2</v>
      </c>
      <c r="I131" s="30">
        <v>0.54807444262919258</v>
      </c>
      <c r="J131" s="30">
        <v>1</v>
      </c>
      <c r="K131" s="8">
        <v>7</v>
      </c>
      <c r="L131" s="8">
        <v>9</v>
      </c>
      <c r="M131" s="8">
        <v>245</v>
      </c>
      <c r="N131" s="8">
        <v>105</v>
      </c>
      <c r="O131" s="30">
        <v>1.07</v>
      </c>
      <c r="P131" s="30">
        <v>1.07</v>
      </c>
      <c r="Q131" s="8">
        <v>60</v>
      </c>
      <c r="R131" s="4">
        <v>0.26</v>
      </c>
      <c r="S131" s="13">
        <v>0</v>
      </c>
      <c r="T131" s="13">
        <v>0</v>
      </c>
      <c r="U131" s="32" t="s">
        <v>51</v>
      </c>
      <c r="V131" s="32" t="s">
        <v>38</v>
      </c>
    </row>
    <row r="132" spans="1:22">
      <c r="A132" t="s">
        <v>186</v>
      </c>
      <c r="B132" s="26">
        <v>0.3</v>
      </c>
      <c r="C132" s="26">
        <v>0.3</v>
      </c>
      <c r="D132" s="26">
        <v>0.63</v>
      </c>
      <c r="E132" s="26">
        <v>6</v>
      </c>
      <c r="F132" s="13">
        <v>0.2</v>
      </c>
      <c r="G132" s="30">
        <v>0.22664987167546768</v>
      </c>
      <c r="H132" s="30">
        <v>2</v>
      </c>
      <c r="I132" s="30">
        <v>0.18578794665396359</v>
      </c>
      <c r="J132" s="30">
        <v>1</v>
      </c>
      <c r="K132" s="8">
        <v>333</v>
      </c>
      <c r="L132" s="8">
        <v>333</v>
      </c>
      <c r="M132" s="8">
        <v>275</v>
      </c>
      <c r="N132" s="8">
        <v>475</v>
      </c>
      <c r="O132" s="30">
        <v>0.15</v>
      </c>
      <c r="P132" s="30">
        <v>0.15</v>
      </c>
      <c r="Q132" s="8">
        <v>120</v>
      </c>
      <c r="R132" s="4">
        <v>0</v>
      </c>
      <c r="S132" s="13">
        <v>0</v>
      </c>
      <c r="T132" s="13">
        <v>0</v>
      </c>
      <c r="U132" s="32" t="s">
        <v>51</v>
      </c>
      <c r="V132" s="32" t="s">
        <v>83</v>
      </c>
    </row>
    <row r="133" spans="1:22">
      <c r="A133" t="s">
        <v>187</v>
      </c>
      <c r="B133" s="26">
        <v>1.1000000000000001</v>
      </c>
      <c r="C133" s="26">
        <v>0.08</v>
      </c>
      <c r="D133" s="26">
        <v>0.63</v>
      </c>
      <c r="E133" s="26">
        <v>6</v>
      </c>
      <c r="F133" s="13">
        <v>0.2</v>
      </c>
      <c r="G133" s="30">
        <v>0.22664987167546768</v>
      </c>
      <c r="H133" s="30">
        <v>2</v>
      </c>
      <c r="I133" s="30">
        <v>0.18578794665396359</v>
      </c>
      <c r="J133" s="30">
        <v>1</v>
      </c>
      <c r="K133" s="8">
        <v>100</v>
      </c>
      <c r="L133" s="8">
        <v>100</v>
      </c>
      <c r="M133" s="8">
        <v>250</v>
      </c>
      <c r="N133" s="8">
        <v>250</v>
      </c>
      <c r="O133" s="30">
        <v>0.15</v>
      </c>
      <c r="P133" s="30">
        <v>0.15</v>
      </c>
      <c r="Q133" s="8">
        <v>0</v>
      </c>
      <c r="R133" s="4">
        <v>0</v>
      </c>
      <c r="S133" s="13">
        <v>0</v>
      </c>
      <c r="T133" s="13">
        <v>0</v>
      </c>
      <c r="U133" s="32" t="s">
        <v>51</v>
      </c>
      <c r="V133" s="32" t="s">
        <v>83</v>
      </c>
    </row>
    <row r="134" spans="1:22">
      <c r="A134" t="s">
        <v>188</v>
      </c>
      <c r="B134" s="26">
        <v>1.3</v>
      </c>
      <c r="C134" s="26">
        <v>1</v>
      </c>
      <c r="D134" s="26">
        <v>0.76</v>
      </c>
      <c r="E134" s="26">
        <v>4</v>
      </c>
      <c r="F134" s="13">
        <v>0.5</v>
      </c>
      <c r="G134" s="30">
        <v>0.90752176393281336</v>
      </c>
      <c r="H134" s="30">
        <v>2</v>
      </c>
      <c r="I134" s="30">
        <v>0.54807444262919258</v>
      </c>
      <c r="J134" s="30">
        <v>1</v>
      </c>
      <c r="K134" s="8">
        <v>30</v>
      </c>
      <c r="L134" s="8">
        <v>60</v>
      </c>
      <c r="M134" s="8">
        <v>250</v>
      </c>
      <c r="N134" s="8">
        <v>250</v>
      </c>
      <c r="O134" s="30">
        <v>0.25</v>
      </c>
      <c r="P134" s="30">
        <v>0.25</v>
      </c>
      <c r="Q134" s="8">
        <v>120</v>
      </c>
      <c r="R134" s="4">
        <v>0.26</v>
      </c>
      <c r="S134" s="13">
        <v>0</v>
      </c>
      <c r="T134" s="13">
        <v>0</v>
      </c>
      <c r="U134" s="32" t="s">
        <v>51</v>
      </c>
      <c r="V134" s="32" t="s">
        <v>38</v>
      </c>
    </row>
    <row r="135" spans="1:22">
      <c r="A135" t="s">
        <v>189</v>
      </c>
      <c r="B135" s="26">
        <v>0.7</v>
      </c>
      <c r="C135" s="26">
        <v>0.6</v>
      </c>
      <c r="D135" s="26">
        <v>0.36</v>
      </c>
      <c r="E135" s="26">
        <v>4</v>
      </c>
      <c r="F135" s="13">
        <v>0.5</v>
      </c>
      <c r="G135" s="30">
        <v>0.90752176393281336</v>
      </c>
      <c r="H135" s="30">
        <v>2</v>
      </c>
      <c r="I135" s="30">
        <v>0.54807444262919258</v>
      </c>
      <c r="J135" s="30">
        <v>1</v>
      </c>
      <c r="K135" s="8">
        <v>30</v>
      </c>
      <c r="L135" s="8">
        <v>60</v>
      </c>
      <c r="M135" s="8">
        <v>250</v>
      </c>
      <c r="N135" s="8">
        <v>250</v>
      </c>
      <c r="O135" s="30">
        <v>0.25</v>
      </c>
      <c r="P135" s="30">
        <v>0.25</v>
      </c>
      <c r="Q135" s="8">
        <v>120</v>
      </c>
      <c r="R135" s="4">
        <v>0.26</v>
      </c>
      <c r="S135" s="13">
        <v>0.14000000000000001</v>
      </c>
      <c r="T135" s="13">
        <v>0.03</v>
      </c>
      <c r="U135" s="32" t="s">
        <v>51</v>
      </c>
      <c r="V135" s="32" t="s">
        <v>38</v>
      </c>
    </row>
    <row r="136" spans="1:22">
      <c r="A136" t="s">
        <v>190</v>
      </c>
      <c r="B136" s="26">
        <v>1</v>
      </c>
      <c r="C136" s="26">
        <v>0.5</v>
      </c>
      <c r="D136" s="26">
        <v>0.54</v>
      </c>
      <c r="E136" s="26">
        <v>4</v>
      </c>
      <c r="F136" s="13">
        <v>0.5</v>
      </c>
      <c r="G136" s="30">
        <v>0.90752176393281336</v>
      </c>
      <c r="H136" s="30">
        <v>2</v>
      </c>
      <c r="I136" s="30">
        <v>0.54807444262919258</v>
      </c>
      <c r="J136" s="30">
        <v>1</v>
      </c>
      <c r="K136" s="8">
        <v>30</v>
      </c>
      <c r="L136" s="8">
        <v>60</v>
      </c>
      <c r="M136" s="8">
        <v>250</v>
      </c>
      <c r="N136" s="8">
        <v>250</v>
      </c>
      <c r="O136" s="30">
        <v>0.25</v>
      </c>
      <c r="P136" s="30">
        <v>0.25</v>
      </c>
      <c r="Q136" s="8">
        <v>120</v>
      </c>
      <c r="R136" s="4">
        <v>0.26</v>
      </c>
      <c r="S136" s="13">
        <v>0.14000000000000001</v>
      </c>
      <c r="T136" s="13">
        <v>0.03</v>
      </c>
      <c r="U136" s="32" t="s">
        <v>51</v>
      </c>
      <c r="V136" s="32" t="s">
        <v>38</v>
      </c>
    </row>
    <row r="137" spans="1:22">
      <c r="A137" t="s">
        <v>191</v>
      </c>
      <c r="B137" s="26">
        <v>1.8</v>
      </c>
      <c r="C137" s="26">
        <v>1.5</v>
      </c>
      <c r="D137" s="26">
        <v>1.08</v>
      </c>
      <c r="E137" s="26">
        <v>4</v>
      </c>
      <c r="F137" s="13">
        <v>0.5</v>
      </c>
      <c r="G137" s="30">
        <v>0.90752176393281336</v>
      </c>
      <c r="H137" s="30">
        <v>2</v>
      </c>
      <c r="I137" s="30">
        <v>0.54807444262919258</v>
      </c>
      <c r="J137" s="30">
        <v>1</v>
      </c>
      <c r="K137" s="8">
        <v>30</v>
      </c>
      <c r="L137" s="8">
        <v>60</v>
      </c>
      <c r="M137" s="8">
        <v>250</v>
      </c>
      <c r="N137" s="8">
        <v>250</v>
      </c>
      <c r="O137" s="30">
        <v>0.25</v>
      </c>
      <c r="P137" s="30">
        <v>0.25</v>
      </c>
      <c r="Q137" s="8">
        <v>120</v>
      </c>
      <c r="R137" s="4" t="s">
        <v>45</v>
      </c>
      <c r="S137" s="13">
        <v>0</v>
      </c>
      <c r="T137" s="13">
        <v>0</v>
      </c>
      <c r="U137" s="32" t="s">
        <v>51</v>
      </c>
      <c r="V137" s="32" t="s">
        <v>38</v>
      </c>
    </row>
    <row r="138" spans="1:22">
      <c r="A138" t="s">
        <v>192</v>
      </c>
      <c r="B138" s="26">
        <v>1.6</v>
      </c>
      <c r="C138" s="26">
        <v>1.4</v>
      </c>
      <c r="D138" s="26">
        <v>0.95</v>
      </c>
      <c r="E138" s="26">
        <v>6</v>
      </c>
      <c r="F138" s="13">
        <v>0.2</v>
      </c>
      <c r="G138" s="30">
        <v>0.3665243728333018</v>
      </c>
      <c r="H138" s="30">
        <v>2</v>
      </c>
      <c r="I138" s="30">
        <v>0.18578794665396359</v>
      </c>
      <c r="J138" s="30">
        <v>1</v>
      </c>
      <c r="K138" s="8">
        <v>333</v>
      </c>
      <c r="L138" s="8">
        <v>333</v>
      </c>
      <c r="M138" s="8">
        <v>275</v>
      </c>
      <c r="N138" s="8">
        <v>475</v>
      </c>
      <c r="O138" s="30">
        <v>0.15</v>
      </c>
      <c r="P138" s="30">
        <v>0.15</v>
      </c>
      <c r="Q138" s="8">
        <v>120</v>
      </c>
      <c r="R138" s="4">
        <v>0.61</v>
      </c>
      <c r="S138" s="13">
        <v>0</v>
      </c>
      <c r="T138" s="13">
        <v>0.05</v>
      </c>
      <c r="U138" s="32" t="s">
        <v>51</v>
      </c>
      <c r="V138" s="32" t="s">
        <v>83</v>
      </c>
    </row>
    <row r="139" spans="1:22">
      <c r="A139" t="s">
        <v>193</v>
      </c>
      <c r="B139" s="26">
        <v>1.1000000000000001</v>
      </c>
      <c r="C139" s="26">
        <v>0.9</v>
      </c>
      <c r="D139" s="26">
        <v>0.57999999999999996</v>
      </c>
      <c r="E139" s="26">
        <v>4</v>
      </c>
      <c r="F139" s="13">
        <v>0.5</v>
      </c>
      <c r="G139" s="30">
        <v>0.3665243728333018</v>
      </c>
      <c r="H139" s="30">
        <v>2</v>
      </c>
      <c r="I139" s="30">
        <v>0.18578794665396359</v>
      </c>
      <c r="J139" s="30">
        <v>1</v>
      </c>
      <c r="K139" s="8">
        <v>30</v>
      </c>
      <c r="L139" s="8">
        <v>30</v>
      </c>
      <c r="M139" s="8">
        <v>250</v>
      </c>
      <c r="N139" s="8">
        <v>250</v>
      </c>
      <c r="O139" s="30">
        <v>0.25</v>
      </c>
      <c r="P139" s="30">
        <v>0.25</v>
      </c>
      <c r="Q139" s="8">
        <v>120</v>
      </c>
      <c r="R139" s="4" t="s">
        <v>45</v>
      </c>
      <c r="S139" s="13">
        <v>0</v>
      </c>
      <c r="T139" s="13">
        <v>0.05</v>
      </c>
      <c r="U139" s="32" t="s">
        <v>51</v>
      </c>
      <c r="V139" s="32" t="s">
        <v>38</v>
      </c>
    </row>
    <row r="140" spans="1:22">
      <c r="A140" t="s">
        <v>194</v>
      </c>
      <c r="B140" s="26">
        <v>1.6</v>
      </c>
      <c r="C140" s="26">
        <v>1.4</v>
      </c>
      <c r="D140" s="26">
        <v>0.57999999999999996</v>
      </c>
      <c r="E140" s="26">
        <v>4</v>
      </c>
      <c r="F140" s="13">
        <v>0.2</v>
      </c>
      <c r="G140" s="30">
        <v>0.22664987167546768</v>
      </c>
      <c r="H140" s="30">
        <v>2</v>
      </c>
      <c r="I140" s="30">
        <v>0.18578794665396359</v>
      </c>
      <c r="J140" s="30">
        <v>1</v>
      </c>
      <c r="K140" s="8">
        <v>333</v>
      </c>
      <c r="L140" s="8">
        <v>333</v>
      </c>
      <c r="M140" s="8">
        <v>275</v>
      </c>
      <c r="N140" s="8">
        <v>475</v>
      </c>
      <c r="O140" s="30">
        <v>0.15</v>
      </c>
      <c r="P140" s="30">
        <v>0.15</v>
      </c>
      <c r="Q140" s="8">
        <v>120</v>
      </c>
      <c r="R140" s="4">
        <v>0.61</v>
      </c>
      <c r="S140" s="13">
        <v>0</v>
      </c>
      <c r="T140" s="13">
        <v>0</v>
      </c>
      <c r="U140" s="32" t="s">
        <v>51</v>
      </c>
      <c r="V140" s="32" t="s">
        <v>83</v>
      </c>
    </row>
    <row r="141" spans="1:22">
      <c r="A141" t="s">
        <v>195</v>
      </c>
      <c r="B141" s="26">
        <v>2.5</v>
      </c>
      <c r="C141" s="26">
        <v>1.9</v>
      </c>
      <c r="D141" s="26">
        <v>1.59</v>
      </c>
      <c r="E141" s="26">
        <v>6</v>
      </c>
      <c r="F141" s="13">
        <v>0.2</v>
      </c>
      <c r="G141" s="30">
        <v>0.53253873756191372</v>
      </c>
      <c r="H141" s="30">
        <v>2</v>
      </c>
      <c r="I141" s="30">
        <v>0.54807444262919258</v>
      </c>
      <c r="J141" s="30">
        <v>1</v>
      </c>
      <c r="K141" s="8">
        <v>1000</v>
      </c>
      <c r="L141" s="8">
        <v>500</v>
      </c>
      <c r="M141" s="8">
        <v>275</v>
      </c>
      <c r="N141" s="8">
        <v>475</v>
      </c>
      <c r="O141" s="30">
        <v>0.15</v>
      </c>
      <c r="P141" s="30">
        <v>0.15</v>
      </c>
      <c r="Q141" s="8">
        <v>0</v>
      </c>
      <c r="R141" s="4">
        <v>0.61</v>
      </c>
      <c r="S141" s="13">
        <v>0.75</v>
      </c>
      <c r="T141" s="13">
        <v>0.12</v>
      </c>
      <c r="U141" s="32" t="s">
        <v>51</v>
      </c>
      <c r="V141" s="32" t="s">
        <v>83</v>
      </c>
    </row>
    <row r="142" spans="1:22">
      <c r="B142" s="26"/>
      <c r="C142" s="26"/>
      <c r="D142" s="26"/>
      <c r="E142" s="26"/>
    </row>
    <row r="143" spans="1:22">
      <c r="B143" s="26"/>
      <c r="C143" s="26"/>
      <c r="D143" s="26"/>
      <c r="E143" s="26"/>
    </row>
    <row r="144" spans="1:22">
      <c r="B144" s="26"/>
      <c r="C144" s="26"/>
      <c r="D144" s="26"/>
      <c r="E144" s="26"/>
      <c r="S144"/>
      <c r="T144"/>
      <c r="U144"/>
      <c r="V144"/>
    </row>
    <row r="145" spans="2:22">
      <c r="B145" s="26"/>
      <c r="C145" s="26"/>
      <c r="D145" s="26"/>
      <c r="E145" s="26"/>
      <c r="S145"/>
      <c r="T145"/>
      <c r="U145"/>
      <c r="V145"/>
    </row>
    <row r="146" spans="2:22">
      <c r="B146" s="26"/>
      <c r="C146" s="26"/>
      <c r="D146" s="26"/>
      <c r="E146" s="26"/>
      <c r="S146"/>
      <c r="T146"/>
      <c r="U146"/>
      <c r="V146"/>
    </row>
    <row r="147" spans="2:22">
      <c r="B147" s="26"/>
      <c r="C147" s="26"/>
      <c r="D147" s="26"/>
      <c r="E147" s="26"/>
      <c r="S147"/>
      <c r="T147"/>
      <c r="U147"/>
      <c r="V147"/>
    </row>
    <row r="148" spans="2:22">
      <c r="B148" s="26"/>
      <c r="C148" s="26"/>
      <c r="D148" s="26"/>
      <c r="E148" s="26"/>
      <c r="S148"/>
      <c r="T148"/>
      <c r="U148"/>
      <c r="V148"/>
    </row>
    <row r="149" spans="2:22">
      <c r="B149" s="26"/>
      <c r="C149" s="26"/>
      <c r="D149" s="26"/>
      <c r="E149" s="26"/>
      <c r="S149"/>
      <c r="T149"/>
      <c r="U149"/>
      <c r="V149"/>
    </row>
  </sheetData>
  <sortState xmlns:xlrd2="http://schemas.microsoft.com/office/spreadsheetml/2017/richdata2" ref="A5:V38">
    <sortCondition ref="A5:A38"/>
  </sortState>
  <mergeCells count="15">
    <mergeCell ref="B1:C1"/>
    <mergeCell ref="F2:G2"/>
    <mergeCell ref="F1:J1"/>
    <mergeCell ref="H2:J2"/>
    <mergeCell ref="B2:E2"/>
    <mergeCell ref="K1:N1"/>
    <mergeCell ref="K2:L2"/>
    <mergeCell ref="M2:N2"/>
    <mergeCell ref="U1:V1"/>
    <mergeCell ref="O1:P1"/>
    <mergeCell ref="O2:P2"/>
    <mergeCell ref="Q1:R1"/>
    <mergeCell ref="S1:T1"/>
    <mergeCell ref="S2:S3"/>
    <mergeCell ref="T2:T3"/>
  </mergeCells>
  <phoneticPr fontId="2" type="noConversion"/>
  <conditionalFormatting sqref="P28 Q5:Q13 O5:O13 U5:U13 H24:T24 K5:K13 M1:N13 M150:N65541 K122:K126 M122:O126 F122:F126 U122:U126 Q122:Q126 Q128 U128 F128 M128:O128 K128 K132:K149 M132:O149 F132:F149 U132:U149 Q132:Q149 K15:K23 M15:O23 Q15:Q23 K59:K119 M59:O119 Q25:Q119 M25:O57 K25:K57 F5:F119 U15:U119">
    <cfRule type="cellIs" dxfId="35" priority="31" stopIfTrue="1" operator="equal">
      <formula>"N/A"</formula>
    </cfRule>
  </conditionalFormatting>
  <conditionalFormatting sqref="S4:T13 P1:P13 P25:P27 R1:R13 S1:T1 B1:E1 L1:L13 B2 B4:E4 B3:D3 B38:E38 L122:L126 R122:T126 P122:P126 P128 R128:T128 L128 L132:L65541 R132:T65541 P132:P65541 B118:E1048576 G1:J4 G142:J65541 G38:J40 L15:L23 P15:P23 R15:T23 V1:V13 V122:V128 V132:V1048576 H25:J37 H5:J23 L59:L119 P59:P119 P29:P57 R25:T119 L25:L57 V15:V119">
    <cfRule type="cellIs" dxfId="34" priority="32" stopIfTrue="1" operator="equal">
      <formula>"n.a."</formula>
    </cfRule>
  </conditionalFormatting>
  <conditionalFormatting sqref="Q120 U120 F120 M120:O120 K120">
    <cfRule type="cellIs" dxfId="33" priority="29" stopIfTrue="1" operator="equal">
      <formula>"N/A"</formula>
    </cfRule>
  </conditionalFormatting>
  <conditionalFormatting sqref="V120 P120 R120:T120 B120:C120 L120">
    <cfRule type="cellIs" dxfId="32" priority="30" stopIfTrue="1" operator="equal">
      <formula>"n.a."</formula>
    </cfRule>
  </conditionalFormatting>
  <conditionalFormatting sqref="V121 P121 R121:T121 B121:C121 L121">
    <cfRule type="cellIs" dxfId="31" priority="27" stopIfTrue="1" operator="equal">
      <formula>"n.a."</formula>
    </cfRule>
  </conditionalFormatting>
  <conditionalFormatting sqref="Q121 U121 F121 M121:O121 K121">
    <cfRule type="cellIs" dxfId="30" priority="26" stopIfTrue="1" operator="equal">
      <formula>"N/A"</formula>
    </cfRule>
  </conditionalFormatting>
  <conditionalFormatting sqref="D121">
    <cfRule type="cellIs" dxfId="29" priority="25" stopIfTrue="1" operator="equal">
      <formula>"n.a."</formula>
    </cfRule>
  </conditionalFormatting>
  <conditionalFormatting sqref="E121">
    <cfRule type="cellIs" dxfId="28" priority="24" stopIfTrue="1" operator="equal">
      <formula>"n.a."</formula>
    </cfRule>
  </conditionalFormatting>
  <conditionalFormatting sqref="K127 M127:O127 F127 U127 Q127">
    <cfRule type="cellIs" dxfId="27" priority="22" stopIfTrue="1" operator="equal">
      <formula>"N/A"</formula>
    </cfRule>
  </conditionalFormatting>
  <conditionalFormatting sqref="B127:E127 L127 R127:T127 P127 V127">
    <cfRule type="cellIs" dxfId="26" priority="23" stopIfTrue="1" operator="equal">
      <formula>"n.a."</formula>
    </cfRule>
  </conditionalFormatting>
  <conditionalFormatting sqref="Q129 U129 F129 M129:O129 K129">
    <cfRule type="cellIs" dxfId="25" priority="20" stopIfTrue="1" operator="equal">
      <formula>"N/A"</formula>
    </cfRule>
  </conditionalFormatting>
  <conditionalFormatting sqref="V129 P129 R129:T129 L129 B129:E129">
    <cfRule type="cellIs" dxfId="24" priority="21" stopIfTrue="1" operator="equal">
      <formula>"n.a."</formula>
    </cfRule>
  </conditionalFormatting>
  <conditionalFormatting sqref="Q130 U130 F130 M130:O130 K130">
    <cfRule type="cellIs" dxfId="23" priority="18" stopIfTrue="1" operator="equal">
      <formula>"N/A"</formula>
    </cfRule>
  </conditionalFormatting>
  <conditionalFormatting sqref="V130 P130 R130:T130 L130 B130:E130">
    <cfRule type="cellIs" dxfId="22" priority="19" stopIfTrue="1" operator="equal">
      <formula>"n.a."</formula>
    </cfRule>
  </conditionalFormatting>
  <conditionalFormatting sqref="Q131 U131 F131 M131:O131 K131">
    <cfRule type="cellIs" dxfId="21" priority="16" stopIfTrue="1" operator="equal">
      <formula>"N/A"</formula>
    </cfRule>
  </conditionalFormatting>
  <conditionalFormatting sqref="V131 P131 R131:T131 L131 B131:E131">
    <cfRule type="cellIs" dxfId="20" priority="17" stopIfTrue="1" operator="equal">
      <formula>"n.a."</formula>
    </cfRule>
  </conditionalFormatting>
  <conditionalFormatting sqref="B39:E117">
    <cfRule type="cellIs" dxfId="19" priority="15" stopIfTrue="1" operator="equal">
      <formula>"n.a."</formula>
    </cfRule>
  </conditionalFormatting>
  <conditionalFormatting sqref="B5:E37">
    <cfRule type="cellIs" dxfId="18" priority="14" stopIfTrue="1" operator="equal">
      <formula>"n.a."</formula>
    </cfRule>
  </conditionalFormatting>
  <conditionalFormatting sqref="Q14 M14:O14 K14">
    <cfRule type="cellIs" dxfId="17" priority="11" stopIfTrue="1" operator="equal">
      <formula>"N/A"</formula>
    </cfRule>
  </conditionalFormatting>
  <conditionalFormatting sqref="P14 R14:T14 L14">
    <cfRule type="cellIs" dxfId="16" priority="12" stopIfTrue="1" operator="equal">
      <formula>"n.a."</formula>
    </cfRule>
  </conditionalFormatting>
  <conditionalFormatting sqref="U14">
    <cfRule type="cellIs" dxfId="15" priority="9" stopIfTrue="1" operator="equal">
      <formula>"N/A"</formula>
    </cfRule>
  </conditionalFormatting>
  <conditionalFormatting sqref="V14">
    <cfRule type="cellIs" dxfId="14" priority="10" stopIfTrue="1" operator="equal">
      <formula>"n.a."</formula>
    </cfRule>
  </conditionalFormatting>
  <conditionalFormatting sqref="V14">
    <cfRule type="cellIs" dxfId="13" priority="8" stopIfTrue="1" operator="equal">
      <formula>"n.a."</formula>
    </cfRule>
  </conditionalFormatting>
  <conditionalFormatting sqref="V61">
    <cfRule type="cellIs" dxfId="12" priority="7" stopIfTrue="1" operator="equal">
      <formula>"n.a."</formula>
    </cfRule>
  </conditionalFormatting>
  <conditionalFormatting sqref="V61">
    <cfRule type="cellIs" dxfId="11" priority="6" stopIfTrue="1" operator="equal">
      <formula>"n.a."</formula>
    </cfRule>
  </conditionalFormatting>
  <conditionalFormatting sqref="V62">
    <cfRule type="cellIs" dxfId="10" priority="5" stopIfTrue="1" operator="equal">
      <formula>"n.a."</formula>
    </cfRule>
  </conditionalFormatting>
  <conditionalFormatting sqref="V62">
    <cfRule type="cellIs" dxfId="9" priority="4" stopIfTrue="1" operator="equal">
      <formula>"n.a."</formula>
    </cfRule>
  </conditionalFormatting>
  <conditionalFormatting sqref="V121">
    <cfRule type="cellIs" dxfId="8" priority="3" stopIfTrue="1" operator="equal">
      <formula>"n.a."</formula>
    </cfRule>
  </conditionalFormatting>
  <conditionalFormatting sqref="M58:O58 K58">
    <cfRule type="cellIs" dxfId="7" priority="1" stopIfTrue="1" operator="equal">
      <formula>"N/A"</formula>
    </cfRule>
  </conditionalFormatting>
  <conditionalFormatting sqref="P58 L58">
    <cfRule type="cellIs" dxfId="6" priority="2" stopIfTrue="1" operator="equal">
      <formula>"n.a."</formula>
    </cfRule>
  </conditionalFormatting>
  <pageMargins left="0.75" right="0.75" top="1" bottom="1" header="0.5" footer="0.5"/>
  <pageSetup orientation="portrait" horizontalDpi="204" verticalDpi="98"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42"/>
  <sheetViews>
    <sheetView workbookViewId="0">
      <selection activeCell="D47" sqref="D47"/>
    </sheetView>
  </sheetViews>
  <sheetFormatPr defaultColWidth="27.140625" defaultRowHeight="12.75"/>
  <cols>
    <col min="2" max="7" width="22.42578125" customWidth="1"/>
    <col min="9" max="9" width="27.140625" style="86"/>
  </cols>
  <sheetData>
    <row r="1" spans="1:9" s="199" customFormat="1" ht="25.5">
      <c r="A1" s="195" t="s">
        <v>1094</v>
      </c>
      <c r="B1" s="196" t="s">
        <v>1095</v>
      </c>
      <c r="C1" s="197" t="s">
        <v>1096</v>
      </c>
      <c r="D1" s="198" t="s">
        <v>1097</v>
      </c>
      <c r="E1" s="196" t="s">
        <v>1098</v>
      </c>
      <c r="F1" s="196" t="s">
        <v>1099</v>
      </c>
      <c r="G1" s="196" t="s">
        <v>1100</v>
      </c>
      <c r="H1" s="199" t="s">
        <v>1101</v>
      </c>
      <c r="I1" s="200" t="s">
        <v>394</v>
      </c>
    </row>
    <row r="2" spans="1:9">
      <c r="A2" s="179" t="s">
        <v>464</v>
      </c>
      <c r="B2" s="180" t="s">
        <v>1102</v>
      </c>
      <c r="C2" s="181">
        <v>1</v>
      </c>
      <c r="D2" s="182">
        <v>0.25</v>
      </c>
      <c r="E2" s="183">
        <v>143</v>
      </c>
      <c r="F2" s="183">
        <v>375</v>
      </c>
      <c r="G2" s="183">
        <v>625</v>
      </c>
      <c r="H2" t="s">
        <v>1103</v>
      </c>
    </row>
    <row r="3" spans="1:9">
      <c r="A3" s="179" t="s">
        <v>37</v>
      </c>
      <c r="B3" s="180" t="s">
        <v>1104</v>
      </c>
      <c r="C3" s="181">
        <v>0.25</v>
      </c>
      <c r="D3" s="182">
        <v>0.31</v>
      </c>
      <c r="E3" s="183">
        <v>20</v>
      </c>
      <c r="F3" s="183">
        <v>250</v>
      </c>
      <c r="G3" s="183">
        <v>200</v>
      </c>
      <c r="H3" t="s">
        <v>1105</v>
      </c>
    </row>
    <row r="4" spans="1:9">
      <c r="A4" s="179" t="s">
        <v>475</v>
      </c>
      <c r="B4" s="180" t="s">
        <v>1106</v>
      </c>
      <c r="C4" s="181">
        <v>0.25</v>
      </c>
      <c r="D4" s="182">
        <v>0.41</v>
      </c>
      <c r="E4" s="183">
        <v>14</v>
      </c>
      <c r="F4" s="183">
        <v>250</v>
      </c>
      <c r="G4" s="183">
        <v>200</v>
      </c>
      <c r="H4" s="27" t="s">
        <v>1105</v>
      </c>
    </row>
    <row r="5" spans="1:9">
      <c r="A5" s="179" t="s">
        <v>480</v>
      </c>
      <c r="B5" s="184" t="s">
        <v>1107</v>
      </c>
      <c r="C5" s="185">
        <v>6</v>
      </c>
      <c r="D5" s="186">
        <v>0.93</v>
      </c>
      <c r="E5" s="187">
        <v>10</v>
      </c>
      <c r="F5" s="187">
        <v>275</v>
      </c>
      <c r="G5" s="187">
        <v>275</v>
      </c>
      <c r="H5" s="27" t="s">
        <v>1103</v>
      </c>
    </row>
    <row r="6" spans="1:9">
      <c r="A6" s="179" t="s">
        <v>486</v>
      </c>
      <c r="B6" s="184" t="s">
        <v>1107</v>
      </c>
      <c r="C6" s="185">
        <v>6</v>
      </c>
      <c r="D6" s="186">
        <v>0.93</v>
      </c>
      <c r="E6" s="187">
        <v>10</v>
      </c>
      <c r="F6" s="187">
        <v>275</v>
      </c>
      <c r="G6" s="187">
        <v>275</v>
      </c>
      <c r="H6" s="27" t="s">
        <v>1103</v>
      </c>
    </row>
    <row r="7" spans="1:9">
      <c r="A7" s="179" t="s">
        <v>489</v>
      </c>
      <c r="B7" s="180" t="s">
        <v>1107</v>
      </c>
      <c r="C7" s="181">
        <v>6</v>
      </c>
      <c r="D7" s="182">
        <v>0.71</v>
      </c>
      <c r="E7" s="183">
        <v>14</v>
      </c>
      <c r="F7" s="183">
        <v>275</v>
      </c>
      <c r="G7" s="183">
        <v>275</v>
      </c>
      <c r="H7" s="27" t="s">
        <v>1103</v>
      </c>
    </row>
    <row r="8" spans="1:9">
      <c r="A8" s="179" t="s">
        <v>44</v>
      </c>
      <c r="B8" s="180" t="s">
        <v>25</v>
      </c>
      <c r="C8" s="181">
        <v>0.6</v>
      </c>
      <c r="D8" s="182">
        <v>0.11</v>
      </c>
      <c r="E8" s="183">
        <v>100</v>
      </c>
      <c r="F8" s="183">
        <v>250</v>
      </c>
      <c r="G8" s="183">
        <v>200</v>
      </c>
      <c r="H8" s="27" t="s">
        <v>1103</v>
      </c>
    </row>
    <row r="9" spans="1:9">
      <c r="A9" s="179" t="s">
        <v>49</v>
      </c>
      <c r="B9" s="180" t="s">
        <v>1104</v>
      </c>
      <c r="C9" s="181">
        <v>0.5</v>
      </c>
      <c r="D9" s="182">
        <v>0.26</v>
      </c>
      <c r="E9" s="183">
        <v>100</v>
      </c>
      <c r="F9" s="183">
        <v>710</v>
      </c>
      <c r="G9" s="183">
        <v>1090</v>
      </c>
      <c r="H9" s="27" t="s">
        <v>1103</v>
      </c>
    </row>
    <row r="10" spans="1:9">
      <c r="A10" s="179" t="s">
        <v>50</v>
      </c>
      <c r="B10" s="180" t="s">
        <v>1108</v>
      </c>
      <c r="C10" s="181">
        <v>1.5</v>
      </c>
      <c r="D10" s="182">
        <v>0.21</v>
      </c>
      <c r="E10" s="183">
        <v>33</v>
      </c>
      <c r="F10" s="183">
        <v>250</v>
      </c>
      <c r="G10" s="183">
        <v>200</v>
      </c>
      <c r="H10" s="27" t="s">
        <v>1103</v>
      </c>
    </row>
    <row r="11" spans="1:9">
      <c r="A11" s="179" t="s">
        <v>53</v>
      </c>
      <c r="B11" s="180" t="s">
        <v>1109</v>
      </c>
      <c r="C11" s="181">
        <v>0.5</v>
      </c>
      <c r="D11" s="182">
        <v>0.3</v>
      </c>
      <c r="E11" s="183">
        <v>33</v>
      </c>
      <c r="F11" s="183">
        <v>710</v>
      </c>
      <c r="G11" s="183">
        <v>1090</v>
      </c>
      <c r="H11" s="27" t="s">
        <v>1103</v>
      </c>
    </row>
    <row r="12" spans="1:9">
      <c r="A12" s="179" t="s">
        <v>506</v>
      </c>
      <c r="B12" s="180" t="s">
        <v>1108</v>
      </c>
      <c r="C12" s="181">
        <v>2</v>
      </c>
      <c r="D12" s="182">
        <v>0.47</v>
      </c>
      <c r="E12" s="183">
        <v>200</v>
      </c>
      <c r="F12" s="183">
        <v>250</v>
      </c>
      <c r="G12" s="183">
        <v>200</v>
      </c>
      <c r="H12" s="27" t="s">
        <v>1103</v>
      </c>
    </row>
    <row r="13" spans="1:9">
      <c r="A13" s="179" t="s">
        <v>56</v>
      </c>
      <c r="B13" s="180" t="s">
        <v>1108</v>
      </c>
      <c r="C13" s="181">
        <v>2</v>
      </c>
      <c r="D13" s="182">
        <v>0.47</v>
      </c>
      <c r="E13" s="183">
        <v>200</v>
      </c>
      <c r="F13" s="183">
        <v>250</v>
      </c>
      <c r="G13" s="183">
        <v>200</v>
      </c>
      <c r="H13" s="27" t="s">
        <v>1103</v>
      </c>
    </row>
    <row r="14" spans="1:9">
      <c r="A14" s="179" t="s">
        <v>514</v>
      </c>
      <c r="B14" s="180" t="s">
        <v>1110</v>
      </c>
      <c r="C14" s="181">
        <v>1.1100000000000001</v>
      </c>
      <c r="D14" s="182">
        <v>0.08</v>
      </c>
      <c r="E14" s="183">
        <v>250</v>
      </c>
      <c r="F14" s="183">
        <v>250</v>
      </c>
      <c r="G14" s="183">
        <v>200</v>
      </c>
      <c r="H14" s="27" t="s">
        <v>1103</v>
      </c>
    </row>
    <row r="15" spans="1:9">
      <c r="A15" s="201" t="s">
        <v>892</v>
      </c>
      <c r="B15" s="202" t="s">
        <v>1111</v>
      </c>
      <c r="C15" s="203">
        <v>3.34</v>
      </c>
      <c r="D15" s="204">
        <v>0.47</v>
      </c>
      <c r="E15" s="205">
        <v>200</v>
      </c>
      <c r="F15" s="205">
        <v>250</v>
      </c>
      <c r="G15" s="205">
        <v>200</v>
      </c>
      <c r="H15" s="206" t="s">
        <v>1103</v>
      </c>
      <c r="I15" s="207" t="s">
        <v>1112</v>
      </c>
    </row>
    <row r="16" spans="1:9">
      <c r="A16" s="179" t="s">
        <v>59</v>
      </c>
      <c r="B16" s="180" t="s">
        <v>1113</v>
      </c>
      <c r="C16" s="181">
        <v>1.5</v>
      </c>
      <c r="D16" s="182">
        <v>0.11</v>
      </c>
      <c r="E16" s="183">
        <v>100</v>
      </c>
      <c r="F16" s="183">
        <v>250</v>
      </c>
      <c r="G16" s="183">
        <v>200</v>
      </c>
      <c r="H16" s="27" t="s">
        <v>1105</v>
      </c>
    </row>
    <row r="17" spans="1:8">
      <c r="A17" s="179" t="s">
        <v>60</v>
      </c>
      <c r="B17" s="184" t="s">
        <v>1102</v>
      </c>
      <c r="C17" s="185">
        <v>1</v>
      </c>
      <c r="D17" s="186">
        <v>0.25</v>
      </c>
      <c r="E17" s="187">
        <v>143</v>
      </c>
      <c r="F17" s="187">
        <v>580</v>
      </c>
      <c r="G17" s="187">
        <v>870</v>
      </c>
      <c r="H17" s="27" t="s">
        <v>1103</v>
      </c>
    </row>
    <row r="18" spans="1:8">
      <c r="A18" s="179" t="s">
        <v>61</v>
      </c>
      <c r="B18" s="180" t="s">
        <v>1110</v>
      </c>
      <c r="C18" s="181">
        <v>1.1100000000000001</v>
      </c>
      <c r="D18" s="182">
        <v>0.08</v>
      </c>
      <c r="E18" s="183">
        <v>250</v>
      </c>
      <c r="F18" s="183">
        <v>250</v>
      </c>
      <c r="G18" s="183">
        <v>200</v>
      </c>
      <c r="H18" s="27" t="s">
        <v>1103</v>
      </c>
    </row>
    <row r="19" spans="1:8">
      <c r="A19" s="179" t="s">
        <v>524</v>
      </c>
      <c r="B19" s="184" t="s">
        <v>1104</v>
      </c>
      <c r="C19" s="185">
        <v>0.54</v>
      </c>
      <c r="D19" s="186">
        <v>1.19</v>
      </c>
      <c r="E19" s="187">
        <v>7</v>
      </c>
      <c r="F19" s="187">
        <v>225</v>
      </c>
      <c r="G19" s="187">
        <v>105</v>
      </c>
      <c r="H19" s="27" t="s">
        <v>1105</v>
      </c>
    </row>
    <row r="20" spans="1:8">
      <c r="A20" s="179" t="s">
        <v>528</v>
      </c>
      <c r="B20" s="180" t="s">
        <v>25</v>
      </c>
      <c r="C20" s="181">
        <v>0.62</v>
      </c>
      <c r="D20" s="182">
        <v>0.06</v>
      </c>
      <c r="E20" s="183">
        <v>380</v>
      </c>
      <c r="F20" s="183">
        <v>250</v>
      </c>
      <c r="G20" s="183">
        <v>200</v>
      </c>
      <c r="H20" s="27" t="s">
        <v>1103</v>
      </c>
    </row>
    <row r="21" spans="1:8">
      <c r="A21" s="179" t="s">
        <v>532</v>
      </c>
      <c r="B21" s="180" t="s">
        <v>1113</v>
      </c>
      <c r="C21" s="181">
        <v>1.5</v>
      </c>
      <c r="D21" s="182">
        <v>0.36</v>
      </c>
      <c r="E21" s="183">
        <v>25</v>
      </c>
      <c r="F21" s="183">
        <v>250</v>
      </c>
      <c r="G21" s="183">
        <v>200</v>
      </c>
      <c r="H21" s="27" t="s">
        <v>1105</v>
      </c>
    </row>
    <row r="22" spans="1:8">
      <c r="A22" s="179" t="s">
        <v>66</v>
      </c>
      <c r="B22" s="180" t="s">
        <v>1106</v>
      </c>
      <c r="C22" s="181">
        <v>0.75</v>
      </c>
      <c r="D22" s="182">
        <v>0.09</v>
      </c>
      <c r="E22" s="183">
        <v>200</v>
      </c>
      <c r="F22" s="183">
        <v>250</v>
      </c>
      <c r="G22" s="183">
        <v>200</v>
      </c>
      <c r="H22" s="27" t="s">
        <v>1105</v>
      </c>
    </row>
    <row r="23" spans="1:8">
      <c r="A23" s="179" t="s">
        <v>67</v>
      </c>
      <c r="B23" s="180" t="s">
        <v>1114</v>
      </c>
      <c r="C23" s="181">
        <v>0</v>
      </c>
      <c r="D23" s="182">
        <v>0</v>
      </c>
      <c r="E23" s="183">
        <v>0</v>
      </c>
      <c r="F23" s="183">
        <v>250</v>
      </c>
      <c r="G23" s="183">
        <v>200</v>
      </c>
      <c r="H23" s="27" t="s">
        <v>1105</v>
      </c>
    </row>
    <row r="24" spans="1:8">
      <c r="A24" s="179" t="s">
        <v>70</v>
      </c>
      <c r="B24" s="180" t="s">
        <v>1110</v>
      </c>
      <c r="C24" s="181">
        <v>0.5</v>
      </c>
      <c r="D24" s="182">
        <v>0.25</v>
      </c>
      <c r="E24" s="183">
        <v>40</v>
      </c>
      <c r="F24" s="183">
        <v>250</v>
      </c>
      <c r="G24" s="183">
        <v>200</v>
      </c>
      <c r="H24" s="27" t="s">
        <v>1103</v>
      </c>
    </row>
    <row r="25" spans="1:8">
      <c r="A25" s="179" t="s">
        <v>542</v>
      </c>
      <c r="B25" s="184" t="s">
        <v>1104</v>
      </c>
      <c r="C25" s="185">
        <v>0.5</v>
      </c>
      <c r="D25" s="186">
        <v>0.76</v>
      </c>
      <c r="E25" s="187">
        <v>14</v>
      </c>
      <c r="F25" s="187">
        <v>225</v>
      </c>
      <c r="G25" s="187">
        <v>105</v>
      </c>
      <c r="H25" s="27" t="s">
        <v>1103</v>
      </c>
    </row>
    <row r="26" spans="1:8">
      <c r="A26" s="179" t="s">
        <v>72</v>
      </c>
      <c r="B26" s="180" t="s">
        <v>1108</v>
      </c>
      <c r="C26" s="181">
        <v>1.5</v>
      </c>
      <c r="D26" s="182">
        <v>0.21</v>
      </c>
      <c r="E26" s="183">
        <v>33</v>
      </c>
      <c r="F26" s="183">
        <v>250</v>
      </c>
      <c r="G26" s="183">
        <v>200</v>
      </c>
      <c r="H26" s="27" t="s">
        <v>1105</v>
      </c>
    </row>
    <row r="27" spans="1:8">
      <c r="A27" s="179" t="s">
        <v>73</v>
      </c>
      <c r="B27" s="180" t="s">
        <v>1106</v>
      </c>
      <c r="C27" s="181">
        <v>1</v>
      </c>
      <c r="D27" s="182">
        <v>0.21</v>
      </c>
      <c r="E27" s="183">
        <v>33</v>
      </c>
      <c r="F27" s="183">
        <v>250</v>
      </c>
      <c r="G27" s="183">
        <v>200</v>
      </c>
      <c r="H27" s="27" t="s">
        <v>1105</v>
      </c>
    </row>
    <row r="28" spans="1:8">
      <c r="A28" s="179" t="s">
        <v>74</v>
      </c>
      <c r="B28" s="180" t="s">
        <v>1104</v>
      </c>
      <c r="C28" s="181">
        <v>0.96</v>
      </c>
      <c r="D28" s="182">
        <v>0.66</v>
      </c>
      <c r="E28" s="183">
        <v>8</v>
      </c>
      <c r="F28" s="183">
        <v>245</v>
      </c>
      <c r="G28" s="183">
        <v>155</v>
      </c>
      <c r="H28" s="27" t="s">
        <v>1105</v>
      </c>
    </row>
    <row r="29" spans="1:8">
      <c r="A29" s="179" t="s">
        <v>68</v>
      </c>
      <c r="B29" s="180" t="s">
        <v>1113</v>
      </c>
      <c r="C29" s="181">
        <v>0.3</v>
      </c>
      <c r="D29" s="182">
        <v>0.23</v>
      </c>
      <c r="E29" s="183">
        <v>67</v>
      </c>
      <c r="F29" s="183">
        <v>250</v>
      </c>
      <c r="G29" s="183">
        <v>200</v>
      </c>
      <c r="H29" s="27" t="s">
        <v>1105</v>
      </c>
    </row>
    <row r="30" spans="1:8">
      <c r="A30" s="179" t="s">
        <v>77</v>
      </c>
      <c r="B30" s="180" t="s">
        <v>1115</v>
      </c>
      <c r="C30" s="181">
        <v>1.39</v>
      </c>
      <c r="D30" s="182">
        <v>0.47</v>
      </c>
      <c r="E30" s="183">
        <v>40</v>
      </c>
      <c r="F30" s="183">
        <v>250</v>
      </c>
      <c r="G30" s="183">
        <v>200</v>
      </c>
      <c r="H30" s="27" t="s">
        <v>1103</v>
      </c>
    </row>
    <row r="31" spans="1:8">
      <c r="A31" s="179" t="s">
        <v>79</v>
      </c>
      <c r="B31" s="180" t="s">
        <v>1104</v>
      </c>
      <c r="C31" s="181">
        <v>1</v>
      </c>
      <c r="D31" s="182">
        <v>0.3</v>
      </c>
      <c r="E31" s="183">
        <v>0</v>
      </c>
      <c r="F31" s="183">
        <v>245</v>
      </c>
      <c r="G31" s="183">
        <v>105</v>
      </c>
      <c r="H31" s="27" t="s">
        <v>1103</v>
      </c>
    </row>
    <row r="32" spans="1:8">
      <c r="A32" s="179" t="s">
        <v>80</v>
      </c>
      <c r="B32" s="180" t="s">
        <v>1106</v>
      </c>
      <c r="C32" s="181">
        <v>1</v>
      </c>
      <c r="D32" s="182">
        <v>0.09</v>
      </c>
      <c r="E32" s="183">
        <v>200</v>
      </c>
      <c r="F32" s="183">
        <v>250</v>
      </c>
      <c r="G32" s="183">
        <v>200</v>
      </c>
      <c r="H32" s="27" t="s">
        <v>1105</v>
      </c>
    </row>
    <row r="33" spans="1:9">
      <c r="A33" s="179" t="s">
        <v>81</v>
      </c>
      <c r="B33" s="180" t="s">
        <v>1108</v>
      </c>
      <c r="C33" s="181">
        <v>0.5</v>
      </c>
      <c r="D33" s="182">
        <v>0.81</v>
      </c>
      <c r="E33" s="183">
        <v>10</v>
      </c>
      <c r="F33" s="183">
        <v>225</v>
      </c>
      <c r="G33" s="183">
        <v>105</v>
      </c>
      <c r="H33" s="27" t="s">
        <v>1105</v>
      </c>
    </row>
    <row r="34" spans="1:9">
      <c r="A34" s="179" t="s">
        <v>82</v>
      </c>
      <c r="B34" s="180" t="s">
        <v>1116</v>
      </c>
      <c r="C34" s="181">
        <v>0.24</v>
      </c>
      <c r="D34" s="182">
        <v>0.06</v>
      </c>
      <c r="E34" s="183">
        <v>0</v>
      </c>
      <c r="F34" s="183">
        <v>275</v>
      </c>
      <c r="G34" s="183">
        <v>475</v>
      </c>
      <c r="H34" s="27" t="s">
        <v>1105</v>
      </c>
    </row>
    <row r="35" spans="1:9">
      <c r="A35" s="179" t="s">
        <v>84</v>
      </c>
      <c r="B35" s="180" t="s">
        <v>1102</v>
      </c>
      <c r="C35" s="181">
        <v>1</v>
      </c>
      <c r="D35" s="182">
        <v>0.25</v>
      </c>
      <c r="E35" s="183">
        <v>143</v>
      </c>
      <c r="F35" s="183">
        <v>635</v>
      </c>
      <c r="G35" s="183">
        <v>965</v>
      </c>
      <c r="H35" s="27" t="s">
        <v>1103</v>
      </c>
    </row>
    <row r="36" spans="1:9">
      <c r="A36" s="201" t="s">
        <v>392</v>
      </c>
      <c r="B36" s="202" t="s">
        <v>1117</v>
      </c>
      <c r="C36" s="202" t="s">
        <v>1117</v>
      </c>
      <c r="D36" s="202" t="s">
        <v>1117</v>
      </c>
      <c r="E36" s="202" t="s">
        <v>1117</v>
      </c>
      <c r="F36" s="202" t="s">
        <v>1117</v>
      </c>
      <c r="G36" s="202" t="s">
        <v>1117</v>
      </c>
      <c r="H36" s="208" t="s">
        <v>1117</v>
      </c>
      <c r="I36" s="208" t="s">
        <v>1118</v>
      </c>
    </row>
    <row r="37" spans="1:9">
      <c r="A37" s="201" t="s">
        <v>630</v>
      </c>
      <c r="B37" s="202" t="s">
        <v>1119</v>
      </c>
      <c r="C37" s="202" t="s">
        <v>1119</v>
      </c>
      <c r="D37" s="202" t="s">
        <v>1119</v>
      </c>
      <c r="E37" s="202" t="s">
        <v>1119</v>
      </c>
      <c r="F37" s="202" t="s">
        <v>1119</v>
      </c>
      <c r="G37" s="202" t="s">
        <v>1119</v>
      </c>
      <c r="H37" s="208" t="s">
        <v>1119</v>
      </c>
      <c r="I37" s="208" t="s">
        <v>1112</v>
      </c>
    </row>
    <row r="39" spans="1:9">
      <c r="A39" s="27" t="s">
        <v>1120</v>
      </c>
    </row>
    <row r="41" spans="1:9">
      <c r="H41" s="191" t="s">
        <v>1103</v>
      </c>
    </row>
    <row r="42" spans="1:9">
      <c r="H42" s="192" t="s">
        <v>1105</v>
      </c>
    </row>
  </sheetData>
  <dataValidations count="1">
    <dataValidation type="list" allowBlank="1" showInputMessage="1" showErrorMessage="1" sqref="H2:H35" xr:uid="{00000000-0002-0000-0900-000000000000}">
      <formula1>$H$41:$H$42</formula1>
    </dataValidation>
  </dataValidations>
  <pageMargins left="0.7" right="0.7" top="0.75" bottom="0.75" header="0.3" footer="0.3"/>
  <pageSetup orientation="portrait" horizontalDpi="1200" verticalDpi="1200"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AG224"/>
  <sheetViews>
    <sheetView workbookViewId="0">
      <pane xSplit="1" ySplit="2" topLeftCell="B3" activePane="bottomRight" state="frozen"/>
      <selection pane="bottomRight" activeCell="C74" sqref="C74:P74"/>
      <selection pane="bottomLeft" activeCell="A3" sqref="A3"/>
      <selection pane="topRight" activeCell="B1" sqref="B1"/>
    </sheetView>
  </sheetViews>
  <sheetFormatPr defaultRowHeight="12.75"/>
  <cols>
    <col min="1" max="1" width="48" customWidth="1"/>
    <col min="2" max="2" width="9.140625" customWidth="1"/>
    <col min="3" max="4" width="9.140625" style="2" customWidth="1"/>
    <col min="5" max="5" width="27" style="2" customWidth="1"/>
    <col min="6" max="6" width="17.7109375" customWidth="1"/>
    <col min="7" max="7" width="12.85546875" style="23" customWidth="1"/>
    <col min="8" max="8" width="10.140625" style="110" customWidth="1"/>
    <col min="9" max="9" width="9.85546875" style="111" customWidth="1"/>
    <col min="10" max="10" width="9.28515625" style="111" customWidth="1"/>
    <col min="11" max="11" width="10" style="111" customWidth="1"/>
    <col min="12" max="13" width="11.42578125" style="47" customWidth="1"/>
    <col min="14" max="14" width="9.5703125" style="109" customWidth="1"/>
    <col min="15" max="16" width="9.140625" style="47"/>
    <col min="17" max="17" width="28.7109375" style="119" customWidth="1"/>
    <col min="18" max="20" width="10.5703125" style="119" customWidth="1"/>
    <col min="21" max="21" width="10.7109375" style="119" customWidth="1"/>
    <col min="22" max="22" width="29.42578125" customWidth="1"/>
    <col min="25" max="25" width="48" style="86" customWidth="1"/>
    <col min="26" max="26" width="36.7109375" customWidth="1"/>
    <col min="27" max="27" width="28.140625" customWidth="1"/>
  </cols>
  <sheetData>
    <row r="1" spans="1:27">
      <c r="H1" s="280" t="s">
        <v>1121</v>
      </c>
      <c r="I1" s="281"/>
      <c r="J1" s="281"/>
      <c r="K1" s="281"/>
      <c r="L1" s="281"/>
      <c r="M1" s="281"/>
      <c r="N1" s="281"/>
      <c r="O1" s="281"/>
      <c r="P1" s="281"/>
      <c r="Q1" s="282" t="s">
        <v>1122</v>
      </c>
      <c r="R1" s="282"/>
      <c r="S1" s="282"/>
      <c r="T1" s="282"/>
      <c r="U1" s="282"/>
      <c r="Y1" s="127" t="s">
        <v>1123</v>
      </c>
    </row>
    <row r="2" spans="1:27" s="83" customFormat="1" ht="42" customHeight="1">
      <c r="A2" s="79" t="s">
        <v>1124</v>
      </c>
      <c r="B2" s="79" t="s">
        <v>1125</v>
      </c>
      <c r="C2" s="80" t="s">
        <v>1126</v>
      </c>
      <c r="D2" s="80" t="s">
        <v>1127</v>
      </c>
      <c r="E2" s="80" t="s">
        <v>1128</v>
      </c>
      <c r="F2" s="79" t="s">
        <v>1129</v>
      </c>
      <c r="G2" s="81" t="s">
        <v>1130</v>
      </c>
      <c r="H2" s="96" t="s">
        <v>1131</v>
      </c>
      <c r="I2" s="97" t="s">
        <v>1132</v>
      </c>
      <c r="J2" s="97" t="s">
        <v>1133</v>
      </c>
      <c r="K2" s="97" t="s">
        <v>1134</v>
      </c>
      <c r="L2" s="98" t="s">
        <v>1135</v>
      </c>
      <c r="M2" s="98" t="s">
        <v>1136</v>
      </c>
      <c r="N2" s="99" t="s">
        <v>23</v>
      </c>
      <c r="O2" s="100" t="s">
        <v>1137</v>
      </c>
      <c r="P2" s="100" t="s">
        <v>1138</v>
      </c>
      <c r="Q2" s="113" t="s">
        <v>1139</v>
      </c>
      <c r="R2" s="114" t="s">
        <v>1140</v>
      </c>
      <c r="S2" s="115" t="s">
        <v>1141</v>
      </c>
      <c r="T2" s="115" t="s">
        <v>1142</v>
      </c>
      <c r="U2" s="114" t="s">
        <v>1143</v>
      </c>
      <c r="V2" s="82" t="s">
        <v>1144</v>
      </c>
      <c r="Y2" s="131" t="s">
        <v>1145</v>
      </c>
      <c r="Z2" s="79" t="s">
        <v>1146</v>
      </c>
      <c r="AA2" s="79" t="s">
        <v>394</v>
      </c>
    </row>
    <row r="3" spans="1:27">
      <c r="A3" s="27" t="str">
        <f t="shared" ref="A3:A34" si="0">E3&amp;" "&amp;F3</f>
        <v>Vacant PBA</v>
      </c>
      <c r="B3" s="27" t="s">
        <v>1128</v>
      </c>
      <c r="C3" s="2">
        <v>1</v>
      </c>
      <c r="D3" s="2">
        <v>0</v>
      </c>
      <c r="E3" t="s">
        <v>1147</v>
      </c>
      <c r="F3" s="27" t="s">
        <v>1128</v>
      </c>
      <c r="G3" s="23">
        <v>134</v>
      </c>
      <c r="H3" s="101">
        <v>0.60588222629650412</v>
      </c>
      <c r="I3" s="102">
        <v>0.20634187768330298</v>
      </c>
      <c r="J3" s="102">
        <v>0.54832713754646845</v>
      </c>
      <c r="K3" s="102">
        <v>1.7787271375464684</v>
      </c>
      <c r="L3" s="107" t="s">
        <v>34</v>
      </c>
      <c r="M3" s="103">
        <v>0.57608059373290121</v>
      </c>
      <c r="N3" s="104">
        <v>2</v>
      </c>
      <c r="O3" s="109">
        <v>0.54832713754646845</v>
      </c>
      <c r="P3" s="104">
        <v>1</v>
      </c>
      <c r="Q3" s="116" t="s">
        <v>1148</v>
      </c>
      <c r="R3" s="117">
        <f t="shared" ref="R3:R34" si="1">VLOOKUP($Q3,_NREL,7,FALSE)</f>
        <v>0</v>
      </c>
      <c r="S3" s="117">
        <f t="shared" ref="S3:S34" si="2">VLOOKUP($Q3,_NREL,8,FALSE)</f>
        <v>1.5850372483753368</v>
      </c>
      <c r="T3" s="117">
        <f t="shared" ref="T3:T34" si="3">VLOOKUP($Q3,_NREL,9,FALSE)</f>
        <v>0.88057624909740939</v>
      </c>
      <c r="U3" s="117">
        <f t="shared" ref="U3:U34" si="4">VLOOKUP($Q3,_NREL,11,FALSE)</f>
        <v>0</v>
      </c>
      <c r="V3" s="47" t="s">
        <v>1147</v>
      </c>
      <c r="Y3" s="86" t="str">
        <f>VLOOKUP(A3,Y82:Z217,2,FALSE)</f>
        <v xml:space="preserve">CS Electrical/Mechanical   </v>
      </c>
    </row>
    <row r="4" spans="1:27">
      <c r="A4" s="27" t="str">
        <f t="shared" si="0"/>
        <v>Office PBA</v>
      </c>
      <c r="B4" s="27" t="s">
        <v>1128</v>
      </c>
      <c r="C4" s="2">
        <v>2</v>
      </c>
      <c r="D4" s="2">
        <v>0</v>
      </c>
      <c r="E4" t="s">
        <v>66</v>
      </c>
      <c r="F4" s="27" t="s">
        <v>1128</v>
      </c>
      <c r="G4" s="23">
        <v>976</v>
      </c>
      <c r="H4" s="101">
        <v>1.7715038921496951</v>
      </c>
      <c r="I4" s="102">
        <v>0.91969968651888556</v>
      </c>
      <c r="J4" s="102">
        <v>0.77137546468401497</v>
      </c>
      <c r="K4" s="102">
        <v>13.3373397503983</v>
      </c>
      <c r="L4" s="107" t="s">
        <v>34</v>
      </c>
      <c r="M4" s="103">
        <v>1.672119383011335</v>
      </c>
      <c r="N4" s="104">
        <v>2</v>
      </c>
      <c r="O4" s="109">
        <v>0.77137546468401497</v>
      </c>
      <c r="P4" s="104">
        <v>1</v>
      </c>
      <c r="Q4" s="116" t="s">
        <v>1149</v>
      </c>
      <c r="R4" s="117">
        <f t="shared" si="1"/>
        <v>1.0038569239710466</v>
      </c>
      <c r="S4" s="117">
        <f t="shared" si="2"/>
        <v>1.5850372483753368</v>
      </c>
      <c r="T4" s="117">
        <f t="shared" si="3"/>
        <v>0.88057624909740939</v>
      </c>
      <c r="U4" s="117">
        <f t="shared" si="4"/>
        <v>45.348590803136254</v>
      </c>
      <c r="V4" s="47" t="s">
        <v>1150</v>
      </c>
      <c r="Y4" s="86" t="str">
        <f t="shared" ref="Y4:Y35" si="5">VLOOKUP(A4,$Y$82:$Z$217,2,FALSE)</f>
        <v>BA Office</v>
      </c>
    </row>
    <row r="5" spans="1:27">
      <c r="A5" s="27" t="str">
        <f t="shared" si="0"/>
        <v>Laboratory PBA</v>
      </c>
      <c r="B5" s="27" t="s">
        <v>1128</v>
      </c>
      <c r="C5" s="2">
        <v>4</v>
      </c>
      <c r="D5" s="2">
        <v>0</v>
      </c>
      <c r="E5" t="s">
        <v>892</v>
      </c>
      <c r="F5" s="27" t="s">
        <v>1128</v>
      </c>
      <c r="G5" s="23">
        <v>43</v>
      </c>
      <c r="H5" s="101">
        <v>3.5034549803284576</v>
      </c>
      <c r="I5" s="102">
        <v>0.55501766112005457</v>
      </c>
      <c r="J5" s="102">
        <v>2.8907072638225055</v>
      </c>
      <c r="K5" s="102">
        <v>5.5414040892193306</v>
      </c>
      <c r="L5" s="107" t="s">
        <v>34</v>
      </c>
      <c r="M5" s="103">
        <v>3.341539942209327</v>
      </c>
      <c r="N5" s="104">
        <v>2</v>
      </c>
      <c r="O5" s="109">
        <v>2.7881040892193307</v>
      </c>
      <c r="P5" s="104">
        <v>1</v>
      </c>
      <c r="Q5" s="116" t="s">
        <v>1151</v>
      </c>
      <c r="R5" s="117">
        <f t="shared" si="1"/>
        <v>10.038569239710466</v>
      </c>
      <c r="S5" s="117">
        <f t="shared" si="2"/>
        <v>7.9251862418766841</v>
      </c>
      <c r="T5" s="117">
        <f t="shared" si="3"/>
        <v>8.805762490974093</v>
      </c>
      <c r="U5" s="117">
        <f t="shared" si="4"/>
        <v>39.627039627039629</v>
      </c>
      <c r="V5" s="47" t="s">
        <v>892</v>
      </c>
      <c r="Y5" s="86" t="str">
        <f t="shared" si="5"/>
        <v xml:space="preserve">CS Laboratory Classrooms  </v>
      </c>
      <c r="Z5" t="s">
        <v>681</v>
      </c>
    </row>
    <row r="6" spans="1:27">
      <c r="A6" s="27" t="str">
        <f t="shared" si="0"/>
        <v>Nonrefrigerated warehouse PBA</v>
      </c>
      <c r="B6" s="27" t="s">
        <v>1128</v>
      </c>
      <c r="C6" s="2">
        <v>5</v>
      </c>
      <c r="D6" s="2">
        <v>0</v>
      </c>
      <c r="E6" t="s">
        <v>1152</v>
      </c>
      <c r="F6" s="27" t="s">
        <v>1128</v>
      </c>
      <c r="G6" s="23">
        <v>473</v>
      </c>
      <c r="H6" s="101">
        <v>0.36325609105300788</v>
      </c>
      <c r="I6" s="102">
        <v>0.28900827771761228</v>
      </c>
      <c r="J6" s="102">
        <v>0.18587360594795541</v>
      </c>
      <c r="K6" s="102">
        <v>2.9225402726146221</v>
      </c>
      <c r="L6" s="107" t="s">
        <v>34</v>
      </c>
      <c r="M6" s="103">
        <v>0.31394912262618863</v>
      </c>
      <c r="N6" s="104">
        <v>2</v>
      </c>
      <c r="O6" s="109">
        <v>0.18587360594795541</v>
      </c>
      <c r="P6" s="104">
        <v>1</v>
      </c>
      <c r="Q6" s="116" t="s">
        <v>1153</v>
      </c>
      <c r="R6" s="117">
        <f t="shared" si="1"/>
        <v>0.6075976118772124</v>
      </c>
      <c r="S6" s="117">
        <f t="shared" si="2"/>
        <v>1.5850372483753368</v>
      </c>
      <c r="T6" s="117">
        <f t="shared" si="3"/>
        <v>0.88057624909740939</v>
      </c>
      <c r="U6" s="117">
        <f t="shared" si="4"/>
        <v>10.595465140919687</v>
      </c>
      <c r="V6" s="47" t="s">
        <v>1154</v>
      </c>
      <c r="Y6" s="86" t="str">
        <f t="shared" si="5"/>
        <v xml:space="preserve">CS Storage   </v>
      </c>
    </row>
    <row r="7" spans="1:27">
      <c r="A7" s="27" t="str">
        <f t="shared" si="0"/>
        <v>Food sales PBA</v>
      </c>
      <c r="B7" s="27" t="s">
        <v>1128</v>
      </c>
      <c r="C7" s="2">
        <v>6</v>
      </c>
      <c r="D7" s="2">
        <v>0</v>
      </c>
      <c r="E7" t="s">
        <v>1155</v>
      </c>
      <c r="F7" s="27" t="s">
        <v>1128</v>
      </c>
      <c r="G7" s="23">
        <v>125</v>
      </c>
      <c r="H7" s="101">
        <v>0.90155746956291793</v>
      </c>
      <c r="I7" s="102">
        <v>0.55335651585845613</v>
      </c>
      <c r="J7" s="102">
        <v>0.47397769516728622</v>
      </c>
      <c r="K7" s="102">
        <v>3.6232800207486813</v>
      </c>
      <c r="L7" s="107" t="s">
        <v>34</v>
      </c>
      <c r="M7" s="103">
        <v>0.82430188597897602</v>
      </c>
      <c r="N7" s="104">
        <v>2</v>
      </c>
      <c r="O7" s="109">
        <v>0.47397769516728622</v>
      </c>
      <c r="P7" s="104">
        <v>1</v>
      </c>
      <c r="Q7" s="116" t="s">
        <v>1156</v>
      </c>
      <c r="R7" s="117">
        <f t="shared" si="1"/>
        <v>5.0192846198552328</v>
      </c>
      <c r="S7" s="117">
        <f t="shared" si="2"/>
        <v>7.9251862418766841</v>
      </c>
      <c r="T7" s="117">
        <f t="shared" si="3"/>
        <v>4.4028812454870465</v>
      </c>
      <c r="U7" s="117">
        <f t="shared" si="4"/>
        <v>39.627039627039629</v>
      </c>
      <c r="V7" s="47" t="s">
        <v>1157</v>
      </c>
      <c r="Y7" s="86" t="e">
        <f t="shared" si="5"/>
        <v>#N/A</v>
      </c>
      <c r="Z7" t="s">
        <v>849</v>
      </c>
      <c r="AA7" s="27" t="s">
        <v>1158</v>
      </c>
    </row>
    <row r="8" spans="1:27">
      <c r="A8" s="27" t="str">
        <f t="shared" si="0"/>
        <v>Public order and safety PBA</v>
      </c>
      <c r="B8" s="27" t="s">
        <v>1128</v>
      </c>
      <c r="C8" s="2">
        <v>7</v>
      </c>
      <c r="D8" s="2">
        <v>0</v>
      </c>
      <c r="E8" t="s">
        <v>1159</v>
      </c>
      <c r="F8" s="27" t="s">
        <v>1128</v>
      </c>
      <c r="G8" s="23">
        <v>85</v>
      </c>
      <c r="H8" s="101">
        <v>1.5975667503378679</v>
      </c>
      <c r="I8" s="102">
        <v>0.41434749246117158</v>
      </c>
      <c r="J8" s="102">
        <v>1.1152416356877324</v>
      </c>
      <c r="K8" s="102">
        <v>3.1930465137365127</v>
      </c>
      <c r="L8" s="107" t="s">
        <v>34</v>
      </c>
      <c r="M8" s="103">
        <v>1.5094154394574639</v>
      </c>
      <c r="N8" s="104">
        <v>2</v>
      </c>
      <c r="O8" s="109">
        <v>1.1152416356877324</v>
      </c>
      <c r="P8" s="104">
        <v>1</v>
      </c>
      <c r="Q8" s="116" t="s">
        <v>1160</v>
      </c>
      <c r="R8" s="117">
        <f t="shared" si="1"/>
        <v>1.0038569239710466</v>
      </c>
      <c r="S8" s="117">
        <f t="shared" si="2"/>
        <v>1.5850372483753368</v>
      </c>
      <c r="T8" s="117">
        <f t="shared" si="3"/>
        <v>0.88057624909740939</v>
      </c>
      <c r="U8" s="117">
        <f t="shared" si="4"/>
        <v>39.627039627039629</v>
      </c>
      <c r="V8" s="47" t="s">
        <v>1161</v>
      </c>
      <c r="Y8" s="86" t="e">
        <f t="shared" si="5"/>
        <v>#N/A</v>
      </c>
    </row>
    <row r="9" spans="1:27">
      <c r="A9" s="27" t="str">
        <f t="shared" si="0"/>
        <v>Outpatient health care PBA</v>
      </c>
      <c r="B9" s="27" t="s">
        <v>1128</v>
      </c>
      <c r="C9" s="2">
        <v>8</v>
      </c>
      <c r="D9" s="2">
        <v>0</v>
      </c>
      <c r="E9" t="s">
        <v>1162</v>
      </c>
      <c r="F9" s="27" t="s">
        <v>1128</v>
      </c>
      <c r="G9" s="23">
        <v>144</v>
      </c>
      <c r="H9" s="101">
        <v>1.3115295821482509</v>
      </c>
      <c r="I9" s="102">
        <v>0.49892959484504218</v>
      </c>
      <c r="J9" s="102">
        <v>0.56949285183218268</v>
      </c>
      <c r="K9" s="102">
        <v>3.6765880071116857</v>
      </c>
      <c r="L9" s="107" t="s">
        <v>34</v>
      </c>
      <c r="M9" s="103">
        <v>1.2201659385238521</v>
      </c>
      <c r="N9" s="104">
        <v>2</v>
      </c>
      <c r="O9" s="109">
        <v>0.54832713754646845</v>
      </c>
      <c r="P9" s="104">
        <v>1</v>
      </c>
      <c r="Q9" s="116" t="s">
        <v>1163</v>
      </c>
      <c r="R9" s="117">
        <f t="shared" si="1"/>
        <v>3.0115707719131399</v>
      </c>
      <c r="S9" s="117">
        <f t="shared" si="2"/>
        <v>4.7551117451260101</v>
      </c>
      <c r="T9" s="117">
        <f t="shared" si="3"/>
        <v>2.6417287472922282</v>
      </c>
      <c r="U9" s="117">
        <f t="shared" si="4"/>
        <v>39.627039627039629</v>
      </c>
      <c r="V9" s="47" t="s">
        <v>1164</v>
      </c>
      <c r="Y9" s="86" t="str">
        <f t="shared" si="5"/>
        <v>BA Healthcare Clinic</v>
      </c>
    </row>
    <row r="10" spans="1:27">
      <c r="A10" s="27" t="str">
        <f t="shared" si="0"/>
        <v>Refrigerated warehouse PBA</v>
      </c>
      <c r="B10" s="27" t="s">
        <v>1128</v>
      </c>
      <c r="C10" s="2">
        <v>11</v>
      </c>
      <c r="D10" s="2">
        <v>0</v>
      </c>
      <c r="E10" t="s">
        <v>1165</v>
      </c>
      <c r="F10" s="27" t="s">
        <v>1128</v>
      </c>
      <c r="G10" s="23">
        <v>20</v>
      </c>
      <c r="H10" s="101">
        <v>0.18669134486278502</v>
      </c>
      <c r="I10" s="102">
        <v>8.1783154344236011E-2</v>
      </c>
      <c r="J10" s="102">
        <v>9.2936802973977703E-2</v>
      </c>
      <c r="K10" s="102">
        <v>0.32878974415044832</v>
      </c>
      <c r="L10" s="107" t="s">
        <v>34</v>
      </c>
      <c r="M10" s="103">
        <v>0.17038583070692084</v>
      </c>
      <c r="N10" s="104">
        <v>2</v>
      </c>
      <c r="O10" s="109">
        <v>9.2936802973977703E-2</v>
      </c>
      <c r="P10" s="104">
        <v>1</v>
      </c>
      <c r="Q10" s="116" t="s">
        <v>1166</v>
      </c>
      <c r="R10" s="117">
        <f t="shared" si="1"/>
        <v>0.6075976118772124</v>
      </c>
      <c r="S10" s="117">
        <f t="shared" si="2"/>
        <v>1.3208643736461141</v>
      </c>
      <c r="T10" s="117">
        <f t="shared" si="3"/>
        <v>0.88057624909740939</v>
      </c>
      <c r="U10" s="117">
        <f t="shared" si="4"/>
        <v>4.2381860563678746</v>
      </c>
      <c r="V10" s="47" t="s">
        <v>1165</v>
      </c>
      <c r="Y10" s="86" t="str">
        <f t="shared" si="5"/>
        <v xml:space="preserve">SS Warehouse Medium/Bulky Material Storage  </v>
      </c>
      <c r="AA10" s="27" t="s">
        <v>1167</v>
      </c>
    </row>
    <row r="11" spans="1:27">
      <c r="A11" s="27" t="str">
        <f t="shared" si="0"/>
        <v>Religious worship PBA</v>
      </c>
      <c r="B11" s="27" t="s">
        <v>1128</v>
      </c>
      <c r="C11" s="2">
        <v>12</v>
      </c>
      <c r="D11" s="2">
        <v>0</v>
      </c>
      <c r="E11" t="s">
        <v>1168</v>
      </c>
      <c r="F11" s="27" t="s">
        <v>1128</v>
      </c>
      <c r="G11" s="23">
        <v>311</v>
      </c>
      <c r="H11" s="101">
        <v>0.3137573468588149</v>
      </c>
      <c r="I11" s="102">
        <v>8.493384339510876E-2</v>
      </c>
      <c r="J11" s="102">
        <v>0.2193308550185874</v>
      </c>
      <c r="K11" s="102">
        <v>0.73113085501858743</v>
      </c>
      <c r="L11" s="107" t="s">
        <v>34</v>
      </c>
      <c r="M11" s="103">
        <v>0.29844543263937018</v>
      </c>
      <c r="N11" s="104">
        <v>2</v>
      </c>
      <c r="O11" s="109">
        <v>0.54832713754646845</v>
      </c>
      <c r="P11" s="104">
        <v>0.4</v>
      </c>
      <c r="Q11" s="116" t="s">
        <v>1169</v>
      </c>
      <c r="R11" s="117">
        <f t="shared" si="1"/>
        <v>0.2641728747292228</v>
      </c>
      <c r="S11" s="117">
        <f t="shared" si="2"/>
        <v>0.52834574945844559</v>
      </c>
      <c r="T11" s="117">
        <f t="shared" si="3"/>
        <v>0.4402881245487047</v>
      </c>
      <c r="U11" s="117">
        <f t="shared" si="4"/>
        <v>39.627039627039629</v>
      </c>
      <c r="V11" s="47" t="s">
        <v>1168</v>
      </c>
      <c r="Y11" s="86" t="str">
        <f t="shared" si="5"/>
        <v>BA Religious Building</v>
      </c>
    </row>
    <row r="12" spans="1:27">
      <c r="A12" s="27" t="str">
        <f t="shared" si="0"/>
        <v>Public assembly PBA</v>
      </c>
      <c r="B12" s="27" t="s">
        <v>1128</v>
      </c>
      <c r="C12" s="2">
        <v>13</v>
      </c>
      <c r="D12" s="2">
        <v>0</v>
      </c>
      <c r="E12" t="s">
        <v>1170</v>
      </c>
      <c r="F12" s="27" t="s">
        <v>1128</v>
      </c>
      <c r="G12" s="23">
        <v>279</v>
      </c>
      <c r="H12" s="101">
        <v>0.84604327598574358</v>
      </c>
      <c r="I12" s="102">
        <v>0.45380711580180766</v>
      </c>
      <c r="J12" s="102">
        <v>0.54832713754646845</v>
      </c>
      <c r="K12" s="102">
        <v>5.6038826931020242</v>
      </c>
      <c r="L12" s="107" t="s">
        <v>34</v>
      </c>
      <c r="M12" s="103">
        <v>0.74760799257268662</v>
      </c>
      <c r="N12" s="104">
        <v>2</v>
      </c>
      <c r="O12" s="109">
        <v>0.54832713754646845</v>
      </c>
      <c r="P12" s="104">
        <v>1</v>
      </c>
      <c r="Q12" s="116" t="s">
        <v>1171</v>
      </c>
      <c r="R12" s="117">
        <f t="shared" si="1"/>
        <v>0.2641728747292228</v>
      </c>
      <c r="S12" s="117">
        <f t="shared" si="2"/>
        <v>0.52834574945844559</v>
      </c>
      <c r="T12" s="117">
        <f t="shared" si="3"/>
        <v>0.4402881245487047</v>
      </c>
      <c r="U12" s="117">
        <f t="shared" si="4"/>
        <v>39.627039627039629</v>
      </c>
      <c r="V12" s="47" t="s">
        <v>1172</v>
      </c>
      <c r="Y12" s="86" t="str">
        <f t="shared" si="5"/>
        <v>BA Convention Center</v>
      </c>
      <c r="AA12" s="27" t="s">
        <v>1173</v>
      </c>
    </row>
    <row r="13" spans="1:27">
      <c r="A13" s="27" t="str">
        <f t="shared" si="0"/>
        <v>Education PBA</v>
      </c>
      <c r="B13" s="27" t="s">
        <v>1128</v>
      </c>
      <c r="C13" s="2">
        <v>14</v>
      </c>
      <c r="D13" s="2">
        <v>0</v>
      </c>
      <c r="E13" t="s">
        <v>1174</v>
      </c>
      <c r="F13" s="27" t="s">
        <v>1128</v>
      </c>
      <c r="G13" s="23">
        <v>649</v>
      </c>
      <c r="H13" s="101">
        <v>0.72498744324860231</v>
      </c>
      <c r="I13" s="102">
        <v>0.74687325029305851</v>
      </c>
      <c r="J13" s="102">
        <v>0.14869888475836432</v>
      </c>
      <c r="K13" s="102">
        <v>14.41467291073239</v>
      </c>
      <c r="L13" s="107" t="s">
        <v>34</v>
      </c>
      <c r="M13" s="103">
        <v>0.68748419285970452</v>
      </c>
      <c r="N13" s="104">
        <v>2</v>
      </c>
      <c r="O13" s="109">
        <v>0.14869888475836432</v>
      </c>
      <c r="P13" s="104">
        <v>1</v>
      </c>
      <c r="Q13" s="116" t="s">
        <v>1175</v>
      </c>
      <c r="R13" s="117">
        <f t="shared" si="1"/>
        <v>0.6075976118772124</v>
      </c>
      <c r="S13" s="117">
        <f t="shared" si="2"/>
        <v>1.5850372483753368</v>
      </c>
      <c r="T13" s="117">
        <f t="shared" si="3"/>
        <v>0.88057624909740939</v>
      </c>
      <c r="U13" s="117">
        <f t="shared" si="4"/>
        <v>13.350286077558804</v>
      </c>
      <c r="V13" s="51" t="s">
        <v>1176</v>
      </c>
      <c r="Y13" s="86" t="str">
        <f t="shared" si="5"/>
        <v>BA School/University</v>
      </c>
    </row>
    <row r="14" spans="1:27">
      <c r="A14" s="27" t="str">
        <f t="shared" si="0"/>
        <v>Food service PBA</v>
      </c>
      <c r="B14" s="27" t="s">
        <v>1128</v>
      </c>
      <c r="C14" s="2">
        <v>15</v>
      </c>
      <c r="D14" s="2">
        <v>0</v>
      </c>
      <c r="E14" t="s">
        <v>1177</v>
      </c>
      <c r="F14" s="27" t="s">
        <v>1128</v>
      </c>
      <c r="G14" s="23">
        <v>242</v>
      </c>
      <c r="H14" s="101">
        <v>1.393661024751994</v>
      </c>
      <c r="I14" s="102">
        <v>0.55740113803512348</v>
      </c>
      <c r="J14" s="102">
        <v>0.93704802973977697</v>
      </c>
      <c r="K14" s="102">
        <v>4.8348225751943223</v>
      </c>
      <c r="L14" s="107" t="s">
        <v>34</v>
      </c>
      <c r="M14" s="103">
        <v>1.29026171387674</v>
      </c>
      <c r="N14" s="104">
        <v>2</v>
      </c>
      <c r="O14" s="109">
        <v>0.92936802973977695</v>
      </c>
      <c r="P14" s="104">
        <v>1</v>
      </c>
      <c r="Q14" s="116" t="s">
        <v>1178</v>
      </c>
      <c r="R14" s="117">
        <f t="shared" si="1"/>
        <v>10.038569239710466</v>
      </c>
      <c r="S14" s="117">
        <f t="shared" si="2"/>
        <v>15.850372483753368</v>
      </c>
      <c r="T14" s="117">
        <f t="shared" si="3"/>
        <v>8.805762490974093</v>
      </c>
      <c r="U14" s="117">
        <f t="shared" si="4"/>
        <v>39.627039627039629</v>
      </c>
      <c r="V14" s="47" t="s">
        <v>1179</v>
      </c>
      <c r="Y14" s="86" t="e">
        <f t="shared" si="5"/>
        <v>#N/A</v>
      </c>
      <c r="Z14" t="s">
        <v>667</v>
      </c>
    </row>
    <row r="15" spans="1:27">
      <c r="A15" s="27" t="str">
        <f t="shared" si="0"/>
        <v>Inpatient health care PBA</v>
      </c>
      <c r="B15" s="27" t="s">
        <v>1128</v>
      </c>
      <c r="C15" s="2">
        <v>16</v>
      </c>
      <c r="D15" s="2">
        <v>0</v>
      </c>
      <c r="E15" t="s">
        <v>1180</v>
      </c>
      <c r="F15" s="27" t="s">
        <v>1128</v>
      </c>
      <c r="G15" s="23">
        <v>217</v>
      </c>
      <c r="H15" s="101">
        <v>1.3056883219055315</v>
      </c>
      <c r="I15" s="102">
        <v>0.41514764030463153</v>
      </c>
      <c r="J15" s="102">
        <v>0.82811345105328371</v>
      </c>
      <c r="K15" s="102">
        <v>4.3918665248171358</v>
      </c>
      <c r="L15" s="107" t="s">
        <v>34</v>
      </c>
      <c r="M15" s="103">
        <v>1.2488271893219809</v>
      </c>
      <c r="N15" s="104">
        <v>2</v>
      </c>
      <c r="O15" s="109">
        <v>0.762081784386617</v>
      </c>
      <c r="P15" s="104">
        <v>1</v>
      </c>
      <c r="Q15" s="116" t="s">
        <v>1181</v>
      </c>
      <c r="R15" s="117">
        <f t="shared" si="1"/>
        <v>3.0115707719131399</v>
      </c>
      <c r="S15" s="117">
        <f t="shared" si="2"/>
        <v>4.7551117451260101</v>
      </c>
      <c r="T15" s="117">
        <f t="shared" si="3"/>
        <v>2.6417287472922282</v>
      </c>
      <c r="U15" s="117">
        <f t="shared" si="4"/>
        <v>39.627039627039629</v>
      </c>
      <c r="V15" s="47" t="s">
        <v>1182</v>
      </c>
      <c r="Y15" s="86" t="str">
        <f t="shared" si="5"/>
        <v>BA Hospital</v>
      </c>
      <c r="AA15" s="27" t="s">
        <v>1183</v>
      </c>
    </row>
    <row r="16" spans="1:27">
      <c r="A16" s="27" t="str">
        <f t="shared" si="0"/>
        <v>Nursing PBA</v>
      </c>
      <c r="B16" s="27" t="s">
        <v>1128</v>
      </c>
      <c r="C16" s="2">
        <v>17</v>
      </c>
      <c r="D16" s="2">
        <v>0</v>
      </c>
      <c r="E16" t="s">
        <v>1184</v>
      </c>
      <c r="F16" s="27" t="s">
        <v>1128</v>
      </c>
      <c r="G16" s="23">
        <v>73</v>
      </c>
      <c r="H16" s="101">
        <v>1.5077787668998561</v>
      </c>
      <c r="I16" s="102">
        <v>0.41007573905509298</v>
      </c>
      <c r="J16" s="102">
        <v>1.1353650399430515</v>
      </c>
      <c r="K16" s="102">
        <v>3.3111534003936147</v>
      </c>
      <c r="L16" s="107" t="s">
        <v>34</v>
      </c>
      <c r="M16" s="103">
        <v>1.4046493036603716</v>
      </c>
      <c r="N16" s="104">
        <v>2</v>
      </c>
      <c r="O16" s="109">
        <v>1.1152416356877324</v>
      </c>
      <c r="P16" s="104">
        <v>1</v>
      </c>
      <c r="Q16" s="116" t="s">
        <v>1185</v>
      </c>
      <c r="R16" s="117">
        <f t="shared" si="1"/>
        <v>3.0115707719131399</v>
      </c>
      <c r="S16" s="117">
        <f t="shared" si="2"/>
        <v>4.7551117451260101</v>
      </c>
      <c r="T16" s="117">
        <f t="shared" si="3"/>
        <v>2.6417287472922282</v>
      </c>
      <c r="U16" s="117">
        <f t="shared" si="4"/>
        <v>39.627039627039629</v>
      </c>
      <c r="V16" s="47" t="s">
        <v>1186</v>
      </c>
      <c r="Y16" s="86" t="e">
        <f t="shared" si="5"/>
        <v>#N/A</v>
      </c>
      <c r="Z16" t="s">
        <v>763</v>
      </c>
      <c r="AA16" s="27" t="s">
        <v>1187</v>
      </c>
    </row>
    <row r="17" spans="1:27">
      <c r="A17" s="27" t="str">
        <f t="shared" si="0"/>
        <v>Lodging PBA</v>
      </c>
      <c r="B17" s="27" t="s">
        <v>1128</v>
      </c>
      <c r="C17" s="2">
        <v>18</v>
      </c>
      <c r="D17" s="2">
        <v>0</v>
      </c>
      <c r="E17" t="s">
        <v>492</v>
      </c>
      <c r="F17" s="27" t="s">
        <v>1128</v>
      </c>
      <c r="G17" s="23">
        <v>260</v>
      </c>
      <c r="H17" s="101">
        <v>1.7668571057266536</v>
      </c>
      <c r="I17" s="102">
        <v>0.96622284333745989</v>
      </c>
      <c r="J17" s="102">
        <v>1.1152416356877324</v>
      </c>
      <c r="K17" s="102">
        <v>8.4774638579099548</v>
      </c>
      <c r="L17" s="107" t="s">
        <v>34</v>
      </c>
      <c r="M17" s="103">
        <v>1.5924739136413366</v>
      </c>
      <c r="N17" s="104">
        <v>2</v>
      </c>
      <c r="O17" s="109">
        <v>0.29739776951672864</v>
      </c>
      <c r="P17" s="104">
        <v>1</v>
      </c>
      <c r="Q17" s="116" t="s">
        <v>1188</v>
      </c>
      <c r="R17" s="117">
        <f t="shared" si="1"/>
        <v>14.027579648121732</v>
      </c>
      <c r="S17" s="117">
        <f t="shared" si="2"/>
        <v>13.20864373646114</v>
      </c>
      <c r="T17" s="117">
        <f t="shared" si="3"/>
        <v>13.208643736461141</v>
      </c>
      <c r="U17" s="117">
        <f t="shared" si="4"/>
        <v>39.627039627039629</v>
      </c>
      <c r="V17" s="47" t="s">
        <v>514</v>
      </c>
      <c r="Y17" s="86" t="e">
        <f t="shared" si="5"/>
        <v>#N/A</v>
      </c>
      <c r="Z17" t="s">
        <v>763</v>
      </c>
    </row>
    <row r="18" spans="1:27">
      <c r="A18" s="27" t="str">
        <f t="shared" si="0"/>
        <v>Strip shopping mall PBA</v>
      </c>
      <c r="B18" s="27" t="s">
        <v>1128</v>
      </c>
      <c r="C18" s="2">
        <v>23</v>
      </c>
      <c r="D18" s="2">
        <v>0</v>
      </c>
      <c r="E18" t="s">
        <v>1189</v>
      </c>
      <c r="F18" s="27" t="s">
        <v>1128</v>
      </c>
      <c r="G18" s="23">
        <v>349</v>
      </c>
      <c r="H18" s="106">
        <v>0</v>
      </c>
      <c r="I18" s="101">
        <v>0</v>
      </c>
      <c r="J18" s="101">
        <v>0</v>
      </c>
      <c r="K18" s="101">
        <v>0</v>
      </c>
      <c r="L18" s="107" t="s">
        <v>34</v>
      </c>
      <c r="M18" s="108">
        <v>0</v>
      </c>
      <c r="N18" s="104">
        <v>2</v>
      </c>
      <c r="O18" s="178">
        <v>0.54832713754646845</v>
      </c>
      <c r="P18" s="104">
        <v>1</v>
      </c>
      <c r="Q18" s="116" t="s">
        <v>75</v>
      </c>
      <c r="R18" s="117">
        <f t="shared" si="1"/>
        <v>0.6075976118772124</v>
      </c>
      <c r="S18" s="117">
        <f t="shared" si="2"/>
        <v>1.0566914989168912</v>
      </c>
      <c r="T18" s="117">
        <f t="shared" si="3"/>
        <v>0.88057624909740939</v>
      </c>
      <c r="U18" s="117">
        <f t="shared" si="4"/>
        <v>39.627039627039629</v>
      </c>
      <c r="V18" s="112" t="s">
        <v>1189</v>
      </c>
      <c r="Y18" s="86" t="e">
        <f t="shared" si="5"/>
        <v>#N/A</v>
      </c>
      <c r="Z18" t="s">
        <v>256</v>
      </c>
    </row>
    <row r="19" spans="1:27">
      <c r="A19" s="27" t="str">
        <f t="shared" si="0"/>
        <v>Enclosed mall PBA</v>
      </c>
      <c r="B19" s="27" t="s">
        <v>1128</v>
      </c>
      <c r="C19" s="2">
        <v>24</v>
      </c>
      <c r="D19" s="2">
        <v>0</v>
      </c>
      <c r="E19" t="s">
        <v>1190</v>
      </c>
      <c r="F19" s="27" t="s">
        <v>1128</v>
      </c>
      <c r="G19" s="23">
        <v>46</v>
      </c>
      <c r="H19" s="101">
        <v>0</v>
      </c>
      <c r="I19" s="101">
        <v>0</v>
      </c>
      <c r="J19" s="101">
        <v>0</v>
      </c>
      <c r="K19" s="101">
        <v>0</v>
      </c>
      <c r="L19" s="107" t="s">
        <v>34</v>
      </c>
      <c r="M19" s="108">
        <v>0</v>
      </c>
      <c r="N19" s="104">
        <v>2</v>
      </c>
      <c r="O19" s="178">
        <v>0.54832713754646845</v>
      </c>
      <c r="P19" s="104">
        <v>1</v>
      </c>
      <c r="Q19" s="116" t="s">
        <v>75</v>
      </c>
      <c r="R19" s="117">
        <f t="shared" si="1"/>
        <v>0.6075976118772124</v>
      </c>
      <c r="S19" s="117">
        <f t="shared" si="2"/>
        <v>1.0566914989168912</v>
      </c>
      <c r="T19" s="117">
        <f t="shared" si="3"/>
        <v>0.88057624909740939</v>
      </c>
      <c r="U19" s="117">
        <f t="shared" si="4"/>
        <v>39.627039627039629</v>
      </c>
      <c r="V19" s="112" t="s">
        <v>1190</v>
      </c>
      <c r="Y19" s="86" t="e">
        <f t="shared" si="5"/>
        <v>#N/A</v>
      </c>
      <c r="Z19" t="s">
        <v>256</v>
      </c>
      <c r="AA19" s="27" t="s">
        <v>1191</v>
      </c>
    </row>
    <row r="20" spans="1:27">
      <c r="A20" s="27" t="str">
        <f t="shared" si="0"/>
        <v>Retail (except Malls) PBA</v>
      </c>
      <c r="B20" s="27" t="s">
        <v>1128</v>
      </c>
      <c r="C20" s="2">
        <v>25</v>
      </c>
      <c r="D20" s="2">
        <v>0</v>
      </c>
      <c r="E20" s="27" t="s">
        <v>1192</v>
      </c>
      <c r="F20" s="27" t="s">
        <v>1128</v>
      </c>
      <c r="G20" s="23">
        <v>355</v>
      </c>
      <c r="H20" s="101">
        <v>0.76352506576359147</v>
      </c>
      <c r="I20" s="102">
        <v>0.5498062699887285</v>
      </c>
      <c r="J20" s="102">
        <v>0.34386617100371747</v>
      </c>
      <c r="K20" s="102">
        <v>3.9328661710037176</v>
      </c>
      <c r="L20" s="107" t="s">
        <v>34</v>
      </c>
      <c r="M20" s="103">
        <v>0.70234930798269923</v>
      </c>
      <c r="N20" s="104">
        <v>2</v>
      </c>
      <c r="O20" s="109">
        <v>0.34386617100371747</v>
      </c>
      <c r="P20" s="104">
        <v>1</v>
      </c>
      <c r="Q20" s="116" t="s">
        <v>75</v>
      </c>
      <c r="R20" s="117">
        <f t="shared" si="1"/>
        <v>0.6075976118772124</v>
      </c>
      <c r="S20" s="117">
        <f t="shared" si="2"/>
        <v>1.0566914989168912</v>
      </c>
      <c r="T20" s="117">
        <f t="shared" si="3"/>
        <v>0.88057624909740939</v>
      </c>
      <c r="U20" s="117">
        <f t="shared" si="4"/>
        <v>39.627039627039629</v>
      </c>
      <c r="V20" s="47" t="s">
        <v>1193</v>
      </c>
      <c r="Y20" s="86" t="str">
        <f t="shared" si="5"/>
        <v>BA Retail</v>
      </c>
    </row>
    <row r="21" spans="1:27">
      <c r="A21" s="27" t="str">
        <f t="shared" si="0"/>
        <v>Service (except Food) PBA</v>
      </c>
      <c r="B21" s="27" t="s">
        <v>1128</v>
      </c>
      <c r="C21" s="2">
        <v>26</v>
      </c>
      <c r="D21" s="2">
        <v>0</v>
      </c>
      <c r="E21" s="27" t="s">
        <v>1194</v>
      </c>
      <c r="F21" s="27" t="s">
        <v>1128</v>
      </c>
      <c r="G21" s="23">
        <v>370</v>
      </c>
      <c r="H21" s="101">
        <v>0.5239351315902756</v>
      </c>
      <c r="I21" s="102">
        <v>0.43553477154161097</v>
      </c>
      <c r="J21" s="102">
        <v>0.18587360594795541</v>
      </c>
      <c r="K21" s="102">
        <v>5.441873605947956</v>
      </c>
      <c r="L21" s="107" t="s">
        <v>34</v>
      </c>
      <c r="M21" s="103">
        <v>0.49072880176333578</v>
      </c>
      <c r="N21" s="104">
        <v>2</v>
      </c>
      <c r="O21" s="109">
        <v>0.54832713754646845</v>
      </c>
      <c r="P21" s="104">
        <v>1</v>
      </c>
      <c r="Q21" s="116" t="s">
        <v>1195</v>
      </c>
      <c r="R21" s="117">
        <f t="shared" si="1"/>
        <v>1.0038569239710466</v>
      </c>
      <c r="S21" s="117">
        <f t="shared" si="2"/>
        <v>1.5850372483753368</v>
      </c>
      <c r="T21" s="117">
        <f t="shared" si="3"/>
        <v>0.88057624909740939</v>
      </c>
      <c r="U21" s="117">
        <f t="shared" si="4"/>
        <v>39.627039627039629</v>
      </c>
      <c r="V21" s="47" t="s">
        <v>1196</v>
      </c>
      <c r="Y21" s="86" t="e">
        <f t="shared" si="5"/>
        <v>#N/A</v>
      </c>
    </row>
    <row r="22" spans="1:27">
      <c r="A22" s="27" t="str">
        <f t="shared" si="0"/>
        <v>Other PBA</v>
      </c>
      <c r="B22" s="27" t="s">
        <v>1128</v>
      </c>
      <c r="C22" s="2">
        <v>91</v>
      </c>
      <c r="D22" s="2">
        <v>0</v>
      </c>
      <c r="E22" t="s">
        <v>867</v>
      </c>
      <c r="F22" s="27" t="s">
        <v>1128</v>
      </c>
      <c r="G22" s="23">
        <v>64</v>
      </c>
      <c r="H22" s="101">
        <v>1.2041002906677774</v>
      </c>
      <c r="I22" s="102">
        <v>5.2178867915211313</v>
      </c>
      <c r="J22" s="102">
        <v>0.18587360594795541</v>
      </c>
      <c r="K22" s="102">
        <v>42.152353605947951</v>
      </c>
      <c r="L22" s="107" t="s">
        <v>34</v>
      </c>
      <c r="M22" s="103">
        <v>1.2743207321638061</v>
      </c>
      <c r="N22" s="104">
        <v>2</v>
      </c>
      <c r="O22" s="109">
        <v>0.54832713754646845</v>
      </c>
      <c r="P22" s="104">
        <v>1</v>
      </c>
      <c r="Q22" s="116" t="s">
        <v>1197</v>
      </c>
      <c r="R22" s="117">
        <f t="shared" si="1"/>
        <v>1.0038569239710466</v>
      </c>
      <c r="S22" s="117">
        <f t="shared" si="2"/>
        <v>1.5850372483753368</v>
      </c>
      <c r="T22" s="117">
        <f t="shared" si="3"/>
        <v>0.88057624909740939</v>
      </c>
      <c r="U22" s="117">
        <f t="shared" si="4"/>
        <v>39.627039627039629</v>
      </c>
      <c r="V22" s="47" t="s">
        <v>867</v>
      </c>
      <c r="Y22" s="86" t="str">
        <f t="shared" si="5"/>
        <v>CS Atrium First 40 ft in Height</v>
      </c>
    </row>
    <row r="23" spans="1:27">
      <c r="A23" s="27" t="str">
        <f t="shared" si="0"/>
        <v>Vacant Vacant</v>
      </c>
      <c r="B23" s="27" t="s">
        <v>1198</v>
      </c>
      <c r="C23" s="2">
        <v>1</v>
      </c>
      <c r="D23" s="2">
        <v>1</v>
      </c>
      <c r="E23" t="s">
        <v>1147</v>
      </c>
      <c r="F23" t="s">
        <v>1147</v>
      </c>
      <c r="G23" s="23">
        <v>134</v>
      </c>
      <c r="H23" s="101">
        <v>0.60588222629650412</v>
      </c>
      <c r="I23" s="102">
        <v>0.20634187768330298</v>
      </c>
      <c r="J23" s="102">
        <v>0.54832713754646845</v>
      </c>
      <c r="K23" s="102">
        <v>1.7787271375464684</v>
      </c>
      <c r="L23" s="107" t="s">
        <v>34</v>
      </c>
      <c r="M23" s="103">
        <v>0.57608059373290121</v>
      </c>
      <c r="N23" s="104">
        <v>2</v>
      </c>
      <c r="O23" s="178">
        <v>0.54832713754646845</v>
      </c>
      <c r="P23" s="105">
        <v>1</v>
      </c>
      <c r="Q23" s="116" t="s">
        <v>1148</v>
      </c>
      <c r="R23" s="117">
        <f t="shared" si="1"/>
        <v>0</v>
      </c>
      <c r="S23" s="117">
        <f t="shared" si="2"/>
        <v>1.5850372483753368</v>
      </c>
      <c r="T23" s="117">
        <f t="shared" si="3"/>
        <v>0.88057624909740939</v>
      </c>
      <c r="U23" s="117">
        <f t="shared" si="4"/>
        <v>0</v>
      </c>
      <c r="Y23" s="86" t="e">
        <f t="shared" si="5"/>
        <v>#N/A</v>
      </c>
      <c r="Z23" t="s">
        <v>662</v>
      </c>
    </row>
    <row r="24" spans="1:27">
      <c r="A24" s="27" t="str">
        <f t="shared" si="0"/>
        <v>Office Administrative/professional office</v>
      </c>
      <c r="B24" s="27" t="s">
        <v>1198</v>
      </c>
      <c r="C24" s="2">
        <v>2</v>
      </c>
      <c r="D24" s="2">
        <v>2</v>
      </c>
      <c r="E24" t="s">
        <v>66</v>
      </c>
      <c r="F24" t="s">
        <v>1150</v>
      </c>
      <c r="G24" s="23">
        <v>520</v>
      </c>
      <c r="H24" s="101">
        <v>1.80364008968363</v>
      </c>
      <c r="I24" s="102">
        <v>1.0179813242605691</v>
      </c>
      <c r="J24" s="102">
        <v>0.79577546468401494</v>
      </c>
      <c r="K24" s="102">
        <v>13.3373397503983</v>
      </c>
      <c r="L24" s="107" t="s">
        <v>34</v>
      </c>
      <c r="M24" s="103">
        <v>1.6760030436778612</v>
      </c>
      <c r="N24" s="104">
        <v>2</v>
      </c>
      <c r="O24" s="178">
        <v>0.77137546468401497</v>
      </c>
      <c r="P24" s="105">
        <v>1</v>
      </c>
      <c r="Q24" s="116" t="s">
        <v>1149</v>
      </c>
      <c r="R24" s="117">
        <f t="shared" si="1"/>
        <v>1.0038569239710466</v>
      </c>
      <c r="S24" s="117">
        <f t="shared" si="2"/>
        <v>1.5850372483753368</v>
      </c>
      <c r="T24" s="117">
        <f t="shared" si="3"/>
        <v>0.88057624909740939</v>
      </c>
      <c r="U24" s="117">
        <f t="shared" si="4"/>
        <v>45.348590803136254</v>
      </c>
      <c r="Y24" s="86" t="e">
        <f t="shared" si="5"/>
        <v>#N/A</v>
      </c>
      <c r="Z24" t="s">
        <v>248</v>
      </c>
    </row>
    <row r="25" spans="1:27">
      <c r="A25" s="27" t="str">
        <f t="shared" si="0"/>
        <v>Office Bank/other financial</v>
      </c>
      <c r="B25" s="27" t="s">
        <v>1198</v>
      </c>
      <c r="C25" s="2">
        <v>2</v>
      </c>
      <c r="D25" s="2">
        <v>3</v>
      </c>
      <c r="E25" t="s">
        <v>66</v>
      </c>
      <c r="F25" t="s">
        <v>1199</v>
      </c>
      <c r="G25" s="23">
        <v>67</v>
      </c>
      <c r="H25" s="101">
        <v>1.9589832701841445</v>
      </c>
      <c r="I25" s="102">
        <v>0.77264785810493086</v>
      </c>
      <c r="J25" s="102">
        <v>0.84997546468401497</v>
      </c>
      <c r="K25" s="102">
        <v>4.2061254646840149</v>
      </c>
      <c r="L25" s="107" t="s">
        <v>34</v>
      </c>
      <c r="M25" s="103">
        <v>1.7200786547923466</v>
      </c>
      <c r="N25" s="104">
        <v>2</v>
      </c>
      <c r="O25" s="178">
        <v>0.77137546468401497</v>
      </c>
      <c r="P25" s="105">
        <v>1</v>
      </c>
      <c r="Q25" s="118" t="s">
        <v>1200</v>
      </c>
      <c r="R25" s="117">
        <f t="shared" si="1"/>
        <v>1.0038569239710466</v>
      </c>
      <c r="S25" s="117">
        <f t="shared" si="2"/>
        <v>1.5850372483753368</v>
      </c>
      <c r="T25" s="117">
        <f t="shared" si="3"/>
        <v>0.88057624909740939</v>
      </c>
      <c r="U25" s="117">
        <f t="shared" si="4"/>
        <v>55.308328035600766</v>
      </c>
      <c r="Y25" s="86" t="str">
        <f t="shared" si="5"/>
        <v xml:space="preserve">SS Bank/Office Banking Activity Area  </v>
      </c>
    </row>
    <row r="26" spans="1:27">
      <c r="A26" s="27" t="str">
        <f t="shared" si="0"/>
        <v>Office Government office</v>
      </c>
      <c r="B26" s="27" t="s">
        <v>1198</v>
      </c>
      <c r="C26" s="2">
        <v>2</v>
      </c>
      <c r="D26" s="2">
        <v>4</v>
      </c>
      <c r="E26" t="s">
        <v>66</v>
      </c>
      <c r="F26" t="s">
        <v>1201</v>
      </c>
      <c r="G26" s="23">
        <v>149</v>
      </c>
      <c r="H26" s="101">
        <v>1.6851599841944487</v>
      </c>
      <c r="I26" s="102">
        <v>0.79688025987504618</v>
      </c>
      <c r="J26" s="102">
        <v>0.79319741590352721</v>
      </c>
      <c r="K26" s="102">
        <v>7.3632173251491313</v>
      </c>
      <c r="L26" s="107" t="s">
        <v>34</v>
      </c>
      <c r="M26" s="103">
        <v>1.6689815831571153</v>
      </c>
      <c r="N26" s="104">
        <v>2</v>
      </c>
      <c r="O26" s="178">
        <v>0.77137546468401497</v>
      </c>
      <c r="P26" s="105">
        <v>1</v>
      </c>
      <c r="Q26" s="116" t="s">
        <v>1149</v>
      </c>
      <c r="R26" s="117">
        <f t="shared" si="1"/>
        <v>1.0038569239710466</v>
      </c>
      <c r="S26" s="117">
        <f t="shared" si="2"/>
        <v>1.5850372483753368</v>
      </c>
      <c r="T26" s="117">
        <f t="shared" si="3"/>
        <v>0.88057624909740939</v>
      </c>
      <c r="U26" s="117">
        <f t="shared" si="4"/>
        <v>45.348590803136254</v>
      </c>
      <c r="Y26" s="86" t="str">
        <f t="shared" si="5"/>
        <v>BA Courthouse</v>
      </c>
      <c r="AA26" s="27" t="s">
        <v>1202</v>
      </c>
    </row>
    <row r="27" spans="1:27">
      <c r="A27" s="27" t="str">
        <f t="shared" si="0"/>
        <v>Office Medical office (non-diagnostic)</v>
      </c>
      <c r="B27" s="27" t="s">
        <v>1198</v>
      </c>
      <c r="C27" s="2">
        <v>2</v>
      </c>
      <c r="D27" s="2">
        <v>5</v>
      </c>
      <c r="E27" t="s">
        <v>66</v>
      </c>
      <c r="F27" t="s">
        <v>1203</v>
      </c>
      <c r="G27" s="23">
        <v>27</v>
      </c>
      <c r="H27" s="101">
        <v>1.7448928385480589</v>
      </c>
      <c r="I27" s="102">
        <v>0.67461746780133236</v>
      </c>
      <c r="J27" s="102">
        <v>0.78639324246179276</v>
      </c>
      <c r="K27" s="102">
        <v>3.4807872293898976</v>
      </c>
      <c r="L27" s="107" t="s">
        <v>34</v>
      </c>
      <c r="M27" s="103">
        <v>1.6129988324949027</v>
      </c>
      <c r="N27" s="104">
        <v>2</v>
      </c>
      <c r="O27" s="178">
        <v>0.77137546468401497</v>
      </c>
      <c r="P27" s="105">
        <v>1</v>
      </c>
      <c r="Q27" s="118" t="s">
        <v>1163</v>
      </c>
      <c r="R27" s="117">
        <f t="shared" si="1"/>
        <v>3.0115707719131399</v>
      </c>
      <c r="S27" s="117">
        <f t="shared" si="2"/>
        <v>4.7551117451260101</v>
      </c>
      <c r="T27" s="117">
        <f t="shared" si="3"/>
        <v>2.6417287472922282</v>
      </c>
      <c r="U27" s="117">
        <f t="shared" si="4"/>
        <v>39.627039627039629</v>
      </c>
      <c r="Y27" s="86" t="e">
        <f t="shared" si="5"/>
        <v>#N/A</v>
      </c>
      <c r="Z27" t="s">
        <v>248</v>
      </c>
    </row>
    <row r="28" spans="1:27">
      <c r="A28" s="27" t="str">
        <f t="shared" si="0"/>
        <v>Office Mixed-use office</v>
      </c>
      <c r="B28" s="27" t="s">
        <v>1198</v>
      </c>
      <c r="C28" s="2">
        <v>2</v>
      </c>
      <c r="D28" s="2">
        <v>6</v>
      </c>
      <c r="E28" t="s">
        <v>66</v>
      </c>
      <c r="F28" t="s">
        <v>1204</v>
      </c>
      <c r="G28" s="23">
        <v>164</v>
      </c>
      <c r="H28" s="101">
        <v>1.6953691745449744</v>
      </c>
      <c r="I28" s="102">
        <v>0.81225408558213241</v>
      </c>
      <c r="J28" s="102">
        <v>0.80793428821342672</v>
      </c>
      <c r="K28" s="102">
        <v>9.3421797566410945</v>
      </c>
      <c r="L28" s="107" t="s">
        <v>34</v>
      </c>
      <c r="M28" s="103">
        <v>1.6410381325957861</v>
      </c>
      <c r="N28" s="104">
        <v>2</v>
      </c>
      <c r="O28" s="178">
        <v>0.77137546468401497</v>
      </c>
      <c r="P28" s="105">
        <v>1</v>
      </c>
      <c r="Q28" s="118" t="s">
        <v>1200</v>
      </c>
      <c r="R28" s="117">
        <f t="shared" si="1"/>
        <v>1.0038569239710466</v>
      </c>
      <c r="S28" s="117">
        <f t="shared" si="2"/>
        <v>1.5850372483753368</v>
      </c>
      <c r="T28" s="117">
        <f t="shared" si="3"/>
        <v>0.88057624909740939</v>
      </c>
      <c r="U28" s="117">
        <f t="shared" si="4"/>
        <v>55.308328035600766</v>
      </c>
      <c r="Y28" s="86" t="e">
        <f t="shared" si="5"/>
        <v>#N/A</v>
      </c>
      <c r="Z28" t="s">
        <v>248</v>
      </c>
    </row>
    <row r="29" spans="1:27">
      <c r="A29" s="27" t="str">
        <f t="shared" si="0"/>
        <v>Office Other office</v>
      </c>
      <c r="B29" s="27" t="s">
        <v>1198</v>
      </c>
      <c r="C29" s="2">
        <v>2</v>
      </c>
      <c r="D29" s="2">
        <v>7</v>
      </c>
      <c r="E29" t="s">
        <v>66</v>
      </c>
      <c r="F29" t="s">
        <v>1205</v>
      </c>
      <c r="G29" s="23">
        <v>49</v>
      </c>
      <c r="H29" s="101">
        <v>1.7061547773292056</v>
      </c>
      <c r="I29" s="102">
        <v>0.77634626953246977</v>
      </c>
      <c r="J29" s="102">
        <v>0.77137546468401497</v>
      </c>
      <c r="K29" s="102">
        <v>4.0282326075411579</v>
      </c>
      <c r="L29" s="107" t="s">
        <v>34</v>
      </c>
      <c r="M29" s="103">
        <v>1.6986522854937587</v>
      </c>
      <c r="N29" s="104">
        <v>2</v>
      </c>
      <c r="O29" s="178">
        <v>0.77137546468401497</v>
      </c>
      <c r="P29" s="105">
        <v>1</v>
      </c>
      <c r="Q29" s="118" t="s">
        <v>1200</v>
      </c>
      <c r="R29" s="117">
        <f t="shared" si="1"/>
        <v>1.0038569239710466</v>
      </c>
      <c r="S29" s="117">
        <f t="shared" si="2"/>
        <v>1.5850372483753368</v>
      </c>
      <c r="T29" s="117">
        <f t="shared" si="3"/>
        <v>0.88057624909740939</v>
      </c>
      <c r="U29" s="117">
        <f t="shared" si="4"/>
        <v>55.308328035600766</v>
      </c>
      <c r="Y29" s="86" t="e">
        <f t="shared" si="5"/>
        <v>#N/A</v>
      </c>
      <c r="Z29" t="s">
        <v>248</v>
      </c>
    </row>
    <row r="30" spans="1:27">
      <c r="A30" s="27" t="str">
        <f t="shared" si="0"/>
        <v>Laboratory Laboratory</v>
      </c>
      <c r="B30" s="27" t="s">
        <v>1198</v>
      </c>
      <c r="C30" s="2">
        <v>4</v>
      </c>
      <c r="D30" s="2">
        <v>8</v>
      </c>
      <c r="E30" t="s">
        <v>892</v>
      </c>
      <c r="F30" t="s">
        <v>892</v>
      </c>
      <c r="G30" s="23">
        <v>43</v>
      </c>
      <c r="H30" s="101">
        <v>3.5034549803284576</v>
      </c>
      <c r="I30" s="102">
        <v>0.55501766112005457</v>
      </c>
      <c r="J30" s="102">
        <v>2.8907072638225055</v>
      </c>
      <c r="K30" s="102">
        <v>5.5414040892193306</v>
      </c>
      <c r="L30" s="107" t="s">
        <v>34</v>
      </c>
      <c r="M30" s="103">
        <v>3.341539942209327</v>
      </c>
      <c r="N30" s="104">
        <v>2</v>
      </c>
      <c r="O30" s="178">
        <v>2.7881040892193307</v>
      </c>
      <c r="P30" s="105">
        <v>1</v>
      </c>
      <c r="Q30" s="116" t="s">
        <v>1151</v>
      </c>
      <c r="R30" s="117">
        <f t="shared" si="1"/>
        <v>10.038569239710466</v>
      </c>
      <c r="S30" s="117">
        <f t="shared" si="2"/>
        <v>7.9251862418766841</v>
      </c>
      <c r="T30" s="117">
        <f t="shared" si="3"/>
        <v>8.805762490974093</v>
      </c>
      <c r="U30" s="117">
        <f t="shared" si="4"/>
        <v>39.627039627039629</v>
      </c>
      <c r="Y30" s="86" t="e">
        <f t="shared" si="5"/>
        <v>#N/A</v>
      </c>
      <c r="Z30" t="s">
        <v>681</v>
      </c>
      <c r="AA30" s="27" t="s">
        <v>1206</v>
      </c>
    </row>
    <row r="31" spans="1:27">
      <c r="A31" s="27" t="str">
        <f t="shared" si="0"/>
        <v>Nonrefrigerated warehouse Distribution/shipping center</v>
      </c>
      <c r="B31" s="27" t="s">
        <v>1198</v>
      </c>
      <c r="C31" s="2">
        <v>5</v>
      </c>
      <c r="D31" s="2">
        <v>9</v>
      </c>
      <c r="E31" t="s">
        <v>1152</v>
      </c>
      <c r="F31" t="s">
        <v>1207</v>
      </c>
      <c r="G31" s="23">
        <v>226</v>
      </c>
      <c r="H31" s="101">
        <v>0.41677764286374624</v>
      </c>
      <c r="I31" s="102">
        <v>0.286329063306693</v>
      </c>
      <c r="J31" s="102">
        <v>0.18587360594795541</v>
      </c>
      <c r="K31" s="102">
        <v>2.1599581129902088</v>
      </c>
      <c r="L31" s="107" t="s">
        <v>34</v>
      </c>
      <c r="M31" s="103">
        <v>0.34481488715257669</v>
      </c>
      <c r="N31" s="104">
        <v>2</v>
      </c>
      <c r="O31" s="178">
        <v>0.18587360594795541</v>
      </c>
      <c r="P31" s="105">
        <v>1</v>
      </c>
      <c r="Q31" s="116" t="s">
        <v>1153</v>
      </c>
      <c r="R31" s="117">
        <f t="shared" si="1"/>
        <v>0.6075976118772124</v>
      </c>
      <c r="S31" s="117">
        <f t="shared" si="2"/>
        <v>1.5850372483753368</v>
      </c>
      <c r="T31" s="117">
        <f t="shared" si="3"/>
        <v>0.88057624909740939</v>
      </c>
      <c r="U31" s="117">
        <f t="shared" si="4"/>
        <v>10.595465140919687</v>
      </c>
      <c r="Y31" s="86" t="str">
        <f t="shared" si="5"/>
        <v>BA Manufacturing Facility</v>
      </c>
      <c r="AA31" s="27" t="s">
        <v>1208</v>
      </c>
    </row>
    <row r="32" spans="1:27">
      <c r="A32" s="27" t="str">
        <f t="shared" si="0"/>
        <v>Nonrefrigerated warehouse Non-refrigerated warehouse</v>
      </c>
      <c r="B32" s="27" t="s">
        <v>1198</v>
      </c>
      <c r="C32" s="2">
        <v>5</v>
      </c>
      <c r="D32" s="2">
        <v>10</v>
      </c>
      <c r="E32" t="s">
        <v>1152</v>
      </c>
      <c r="F32" t="s">
        <v>1154</v>
      </c>
      <c r="G32" s="23">
        <v>163</v>
      </c>
      <c r="H32" s="101">
        <v>0.35606508838258616</v>
      </c>
      <c r="I32" s="102">
        <v>0.26557673167732743</v>
      </c>
      <c r="J32" s="102">
        <v>0.18587360594795541</v>
      </c>
      <c r="K32" s="102">
        <v>1.8908736059479554</v>
      </c>
      <c r="L32" s="107" t="s">
        <v>34</v>
      </c>
      <c r="M32" s="103">
        <v>0.30230662613081127</v>
      </c>
      <c r="N32" s="104">
        <v>2</v>
      </c>
      <c r="O32" s="178">
        <v>0.18587360594795541</v>
      </c>
      <c r="P32" s="105">
        <v>1</v>
      </c>
      <c r="Q32" s="116" t="s">
        <v>1153</v>
      </c>
      <c r="R32" s="117">
        <f t="shared" si="1"/>
        <v>0.6075976118772124</v>
      </c>
      <c r="S32" s="117">
        <f t="shared" si="2"/>
        <v>1.5850372483753368</v>
      </c>
      <c r="T32" s="117">
        <f t="shared" si="3"/>
        <v>0.88057624909740939</v>
      </c>
      <c r="U32" s="117">
        <f t="shared" si="4"/>
        <v>10.595465140919687</v>
      </c>
      <c r="Y32" s="86" t="str">
        <f t="shared" si="5"/>
        <v>BA Warehouse</v>
      </c>
    </row>
    <row r="33" spans="1:27">
      <c r="A33" s="27" t="str">
        <f t="shared" si="0"/>
        <v>Nonrefrigerated warehouse Self-storage</v>
      </c>
      <c r="B33" s="27" t="s">
        <v>1198</v>
      </c>
      <c r="C33" s="2">
        <v>5</v>
      </c>
      <c r="D33" s="2">
        <v>11</v>
      </c>
      <c r="E33" t="s">
        <v>1152</v>
      </c>
      <c r="F33" t="s">
        <v>1209</v>
      </c>
      <c r="G33" s="23">
        <v>84</v>
      </c>
      <c r="H33" s="101">
        <v>0.23321159969647784</v>
      </c>
      <c r="I33" s="102">
        <v>0.30010606570375703</v>
      </c>
      <c r="J33" s="102">
        <v>0.18587360594795541</v>
      </c>
      <c r="K33" s="102">
        <v>2.9225402726146221</v>
      </c>
      <c r="L33" s="107" t="s">
        <v>34</v>
      </c>
      <c r="M33" s="103">
        <v>0.2131837454158538</v>
      </c>
      <c r="N33" s="104">
        <v>2</v>
      </c>
      <c r="O33" s="178">
        <v>0.18587360594795541</v>
      </c>
      <c r="P33" s="105">
        <v>1</v>
      </c>
      <c r="Q33" s="116" t="s">
        <v>1153</v>
      </c>
      <c r="R33" s="117">
        <f t="shared" si="1"/>
        <v>0.6075976118772124</v>
      </c>
      <c r="S33" s="117">
        <f t="shared" si="2"/>
        <v>1.5850372483753368</v>
      </c>
      <c r="T33" s="117">
        <f t="shared" si="3"/>
        <v>0.88057624909740939</v>
      </c>
      <c r="U33" s="117">
        <f t="shared" si="4"/>
        <v>10.595465140919687</v>
      </c>
      <c r="Y33" s="86" t="e">
        <f t="shared" si="5"/>
        <v>#N/A</v>
      </c>
      <c r="Z33" t="s">
        <v>262</v>
      </c>
    </row>
    <row r="34" spans="1:27">
      <c r="A34" s="27" t="str">
        <f t="shared" si="0"/>
        <v>Food sales Convenience store</v>
      </c>
      <c r="B34" s="27" t="s">
        <v>1198</v>
      </c>
      <c r="C34" s="2">
        <v>6</v>
      </c>
      <c r="D34" s="2">
        <v>12</v>
      </c>
      <c r="E34" t="s">
        <v>1155</v>
      </c>
      <c r="F34" t="s">
        <v>1210</v>
      </c>
      <c r="G34" s="23">
        <v>24</v>
      </c>
      <c r="H34" s="101">
        <v>1.1326241834175488</v>
      </c>
      <c r="I34" s="102">
        <v>0.7287753802711755</v>
      </c>
      <c r="J34" s="102">
        <v>0.47397769516728622</v>
      </c>
      <c r="K34" s="102">
        <v>2.8006443618339527</v>
      </c>
      <c r="L34" s="107" t="s">
        <v>34</v>
      </c>
      <c r="M34" s="103">
        <v>0.98457137373626535</v>
      </c>
      <c r="N34" s="104">
        <v>2</v>
      </c>
      <c r="O34" s="178">
        <v>0.47397769516728622</v>
      </c>
      <c r="P34" s="105">
        <v>1</v>
      </c>
      <c r="Q34" s="116" t="s">
        <v>1156</v>
      </c>
      <c r="R34" s="117">
        <f t="shared" si="1"/>
        <v>5.0192846198552328</v>
      </c>
      <c r="S34" s="117">
        <f t="shared" si="2"/>
        <v>7.9251862418766841</v>
      </c>
      <c r="T34" s="117">
        <f t="shared" si="3"/>
        <v>4.4028812454870465</v>
      </c>
      <c r="U34" s="117">
        <f t="shared" si="4"/>
        <v>39.627039627039629</v>
      </c>
      <c r="Y34" s="86" t="e">
        <f t="shared" si="5"/>
        <v>#N/A</v>
      </c>
      <c r="Z34" t="s">
        <v>849</v>
      </c>
      <c r="AA34" s="27" t="s">
        <v>1158</v>
      </c>
    </row>
    <row r="35" spans="1:27">
      <c r="A35" s="27" t="str">
        <f t="shared" ref="A35:A66" si="6">E35&amp;" "&amp;F35</f>
        <v>Food sales Convenience store with gas station</v>
      </c>
      <c r="B35" s="27" t="s">
        <v>1198</v>
      </c>
      <c r="C35" s="2">
        <v>6</v>
      </c>
      <c r="D35" s="2">
        <v>13</v>
      </c>
      <c r="E35" t="s">
        <v>1155</v>
      </c>
      <c r="F35" t="s">
        <v>1211</v>
      </c>
      <c r="G35" s="23">
        <v>32</v>
      </c>
      <c r="H35" s="101">
        <v>0.93190949226822162</v>
      </c>
      <c r="I35" s="102">
        <v>0.58645269758621787</v>
      </c>
      <c r="J35" s="102">
        <v>0.51090077209036311</v>
      </c>
      <c r="K35" s="102">
        <v>2.9534776951672859</v>
      </c>
      <c r="L35" s="107" t="s">
        <v>34</v>
      </c>
      <c r="M35" s="103">
        <v>0.86120048753821488</v>
      </c>
      <c r="N35" s="104">
        <v>2</v>
      </c>
      <c r="O35" s="178">
        <v>0.47397769516728622</v>
      </c>
      <c r="P35" s="105">
        <v>1</v>
      </c>
      <c r="Q35" s="116" t="s">
        <v>1156</v>
      </c>
      <c r="R35" s="117">
        <f t="shared" ref="R35:R66" si="7">VLOOKUP($Q35,_NREL,7,FALSE)</f>
        <v>5.0192846198552328</v>
      </c>
      <c r="S35" s="117">
        <f t="shared" ref="S35:S66" si="8">VLOOKUP($Q35,_NREL,8,FALSE)</f>
        <v>7.9251862418766841</v>
      </c>
      <c r="T35" s="117">
        <f t="shared" ref="T35:T66" si="9">VLOOKUP($Q35,_NREL,9,FALSE)</f>
        <v>4.4028812454870465</v>
      </c>
      <c r="U35" s="117">
        <f t="shared" ref="U35:U66" si="10">VLOOKUP($Q35,_NREL,11,FALSE)</f>
        <v>39.627039627039629</v>
      </c>
      <c r="Y35" s="86" t="e">
        <f t="shared" si="5"/>
        <v>#N/A</v>
      </c>
      <c r="Z35" t="s">
        <v>849</v>
      </c>
      <c r="AA35" s="27" t="s">
        <v>1158</v>
      </c>
    </row>
    <row r="36" spans="1:27">
      <c r="A36" s="27" t="str">
        <f t="shared" si="6"/>
        <v>Food sales Grocery store/food market</v>
      </c>
      <c r="B36" s="27" t="s">
        <v>1198</v>
      </c>
      <c r="C36" s="2">
        <v>6</v>
      </c>
      <c r="D36" s="2">
        <v>14</v>
      </c>
      <c r="E36" t="s">
        <v>1155</v>
      </c>
      <c r="F36" t="s">
        <v>1212</v>
      </c>
      <c r="G36" s="23">
        <v>63</v>
      </c>
      <c r="H36" s="101">
        <v>0.82562671492660322</v>
      </c>
      <c r="I36" s="102">
        <v>0.4553268731429771</v>
      </c>
      <c r="J36" s="102">
        <v>0.47397769516728622</v>
      </c>
      <c r="K36" s="102">
        <v>3.6232800207486813</v>
      </c>
      <c r="L36" s="107" t="s">
        <v>34</v>
      </c>
      <c r="M36" s="103">
        <v>0.7969176466259914</v>
      </c>
      <c r="N36" s="104">
        <v>2</v>
      </c>
      <c r="O36" s="178">
        <v>0.47397769516728622</v>
      </c>
      <c r="P36" s="105">
        <v>1</v>
      </c>
      <c r="Q36" s="116" t="s">
        <v>1156</v>
      </c>
      <c r="R36" s="117">
        <f t="shared" si="7"/>
        <v>5.0192846198552328</v>
      </c>
      <c r="S36" s="117">
        <f t="shared" si="8"/>
        <v>7.9251862418766841</v>
      </c>
      <c r="T36" s="117">
        <f t="shared" si="9"/>
        <v>4.4028812454870465</v>
      </c>
      <c r="U36" s="117">
        <f t="shared" si="10"/>
        <v>39.627039627039629</v>
      </c>
      <c r="Y36" s="86" t="e">
        <f t="shared" ref="Y36:Y67" si="11">VLOOKUP(A36,$Y$82:$Z$217,2,FALSE)</f>
        <v>#N/A</v>
      </c>
      <c r="Z36" t="s">
        <v>849</v>
      </c>
      <c r="AA36" s="27" t="s">
        <v>1158</v>
      </c>
    </row>
    <row r="37" spans="1:27">
      <c r="A37" s="27" t="str">
        <f t="shared" si="6"/>
        <v>Food sales Other food sales</v>
      </c>
      <c r="B37" s="27" t="s">
        <v>1198</v>
      </c>
      <c r="C37" s="2">
        <v>6</v>
      </c>
      <c r="D37" s="2">
        <v>15</v>
      </c>
      <c r="E37" t="s">
        <v>1155</v>
      </c>
      <c r="F37" t="s">
        <v>1157</v>
      </c>
      <c r="G37" s="23">
        <v>6</v>
      </c>
      <c r="H37" s="101">
        <v>0.61268608339741348</v>
      </c>
      <c r="I37" s="102">
        <v>0.11233564562011322</v>
      </c>
      <c r="J37" s="102">
        <v>0.47397769516728622</v>
      </c>
      <c r="K37" s="102">
        <v>0.73252314971274068</v>
      </c>
      <c r="L37" s="107" t="s">
        <v>34</v>
      </c>
      <c r="M37" s="103">
        <v>0.65192970316336818</v>
      </c>
      <c r="N37" s="104">
        <v>2</v>
      </c>
      <c r="O37" s="178">
        <v>0.47397769516728622</v>
      </c>
      <c r="P37" s="105">
        <v>1</v>
      </c>
      <c r="Q37" s="116" t="s">
        <v>1156</v>
      </c>
      <c r="R37" s="117">
        <f t="shared" si="7"/>
        <v>5.0192846198552328</v>
      </c>
      <c r="S37" s="117">
        <f t="shared" si="8"/>
        <v>7.9251862418766841</v>
      </c>
      <c r="T37" s="117">
        <f t="shared" si="9"/>
        <v>4.4028812454870465</v>
      </c>
      <c r="U37" s="117">
        <f t="shared" si="10"/>
        <v>39.627039627039629</v>
      </c>
      <c r="Y37" s="86" t="e">
        <f t="shared" si="11"/>
        <v>#N/A</v>
      </c>
      <c r="Z37" t="s">
        <v>849</v>
      </c>
      <c r="AA37" s="27" t="s">
        <v>1158</v>
      </c>
    </row>
    <row r="38" spans="1:27">
      <c r="A38" s="27" t="str">
        <f t="shared" si="6"/>
        <v>Public order and safety Fire station/police station</v>
      </c>
      <c r="B38" s="27" t="s">
        <v>1198</v>
      </c>
      <c r="C38" s="2">
        <v>7</v>
      </c>
      <c r="D38" s="2">
        <v>16</v>
      </c>
      <c r="E38" t="s">
        <v>1159</v>
      </c>
      <c r="F38" t="s">
        <v>1213</v>
      </c>
      <c r="G38" s="23">
        <v>47</v>
      </c>
      <c r="H38" s="101">
        <v>1.6273321967685874</v>
      </c>
      <c r="I38" s="102">
        <v>0.44885083855861829</v>
      </c>
      <c r="J38" s="102">
        <v>1.1152416356877324</v>
      </c>
      <c r="K38" s="102">
        <v>3.1930465137365127</v>
      </c>
      <c r="L38" s="107" t="s">
        <v>34</v>
      </c>
      <c r="M38" s="103">
        <v>1.5403580152290588</v>
      </c>
      <c r="N38" s="104">
        <v>2</v>
      </c>
      <c r="O38" s="178">
        <v>1.1152416356877324</v>
      </c>
      <c r="P38" s="105">
        <v>1</v>
      </c>
      <c r="Q38" s="116" t="s">
        <v>1160</v>
      </c>
      <c r="R38" s="117">
        <f t="shared" si="7"/>
        <v>1.0038569239710466</v>
      </c>
      <c r="S38" s="117">
        <f t="shared" si="8"/>
        <v>1.5850372483753368</v>
      </c>
      <c r="T38" s="117">
        <f t="shared" si="9"/>
        <v>0.88057624909740939</v>
      </c>
      <c r="U38" s="117">
        <f t="shared" si="10"/>
        <v>39.627039627039629</v>
      </c>
      <c r="Y38" s="86" t="str">
        <f t="shared" si="11"/>
        <v>BA Fire Station</v>
      </c>
      <c r="AA38" s="27" t="s">
        <v>1214</v>
      </c>
    </row>
    <row r="39" spans="1:27">
      <c r="A39" s="27" t="str">
        <f t="shared" si="6"/>
        <v>Public order and safety Other public order and safety</v>
      </c>
      <c r="B39" s="27" t="s">
        <v>1198</v>
      </c>
      <c r="C39" s="2">
        <v>7</v>
      </c>
      <c r="D39" s="2">
        <v>17</v>
      </c>
      <c r="E39" t="s">
        <v>1159</v>
      </c>
      <c r="F39" t="s">
        <v>1161</v>
      </c>
      <c r="G39" s="23">
        <v>38</v>
      </c>
      <c r="H39" s="101">
        <v>1.5607515929103994</v>
      </c>
      <c r="I39" s="102">
        <v>0.36983607802112106</v>
      </c>
      <c r="J39" s="102">
        <v>1.1493285922094716</v>
      </c>
      <c r="K39" s="102">
        <v>2.6892169443297078</v>
      </c>
      <c r="L39" s="107" t="s">
        <v>34</v>
      </c>
      <c r="M39" s="103">
        <v>1.4928322661656475</v>
      </c>
      <c r="N39" s="104">
        <v>2</v>
      </c>
      <c r="O39" s="178">
        <v>1.1152416356877324</v>
      </c>
      <c r="P39" s="105">
        <v>1</v>
      </c>
      <c r="Q39" s="116" t="s">
        <v>1160</v>
      </c>
      <c r="R39" s="117">
        <f t="shared" si="7"/>
        <v>1.0038569239710466</v>
      </c>
      <c r="S39" s="117">
        <f t="shared" si="8"/>
        <v>1.5850372483753368</v>
      </c>
      <c r="T39" s="117">
        <f t="shared" si="9"/>
        <v>0.88057624909740939</v>
      </c>
      <c r="U39" s="117">
        <f t="shared" si="10"/>
        <v>39.627039627039629</v>
      </c>
      <c r="Y39" s="86" t="str">
        <f t="shared" si="11"/>
        <v>BA Penitentiary</v>
      </c>
      <c r="AA39" s="27" t="s">
        <v>1215</v>
      </c>
    </row>
    <row r="40" spans="1:27">
      <c r="A40" s="27" t="str">
        <f t="shared" si="6"/>
        <v>Outpatient health care Medical office (diagnostic)</v>
      </c>
      <c r="B40" s="27" t="s">
        <v>1198</v>
      </c>
      <c r="C40" s="2">
        <v>8</v>
      </c>
      <c r="D40" s="2">
        <v>18</v>
      </c>
      <c r="E40" t="s">
        <v>1162</v>
      </c>
      <c r="F40" t="s">
        <v>1216</v>
      </c>
      <c r="G40" s="23">
        <v>52</v>
      </c>
      <c r="H40" s="101">
        <v>1.4248651457113914</v>
      </c>
      <c r="I40" s="102">
        <v>0.61201151897038553</v>
      </c>
      <c r="J40" s="102">
        <v>0.6081771375464684</v>
      </c>
      <c r="K40" s="102">
        <v>3.6765880071116857</v>
      </c>
      <c r="L40" s="107" t="s">
        <v>34</v>
      </c>
      <c r="M40" s="103">
        <v>1.2166779317369045</v>
      </c>
      <c r="N40" s="104">
        <v>2</v>
      </c>
      <c r="O40" s="178">
        <v>0.54832713754646845</v>
      </c>
      <c r="P40" s="105">
        <v>1</v>
      </c>
      <c r="Q40" s="116" t="s">
        <v>1163</v>
      </c>
      <c r="R40" s="117">
        <f t="shared" si="7"/>
        <v>3.0115707719131399</v>
      </c>
      <c r="S40" s="117">
        <f t="shared" si="8"/>
        <v>4.7551117451260101</v>
      </c>
      <c r="T40" s="117">
        <f t="shared" si="9"/>
        <v>2.6417287472922282</v>
      </c>
      <c r="U40" s="117">
        <f t="shared" si="10"/>
        <v>39.627039627039629</v>
      </c>
      <c r="Y40" s="86" t="e">
        <f t="shared" si="11"/>
        <v>#N/A</v>
      </c>
      <c r="Z40" t="s">
        <v>237</v>
      </c>
    </row>
    <row r="41" spans="1:27">
      <c r="A41" s="27" t="str">
        <f t="shared" si="6"/>
        <v>Outpatient health care Clinic/other outpatient health</v>
      </c>
      <c r="B41" s="27" t="s">
        <v>1198</v>
      </c>
      <c r="C41" s="2">
        <v>8</v>
      </c>
      <c r="D41" s="2">
        <v>19</v>
      </c>
      <c r="E41" t="s">
        <v>1162</v>
      </c>
      <c r="F41" t="s">
        <v>1164</v>
      </c>
      <c r="G41" s="23">
        <v>92</v>
      </c>
      <c r="H41" s="101">
        <v>1.2474703505690836</v>
      </c>
      <c r="I41" s="102">
        <v>0.41203282714072542</v>
      </c>
      <c r="J41" s="102">
        <v>0.56949285183218268</v>
      </c>
      <c r="K41" s="102">
        <v>2.7257043305289246</v>
      </c>
      <c r="L41" s="107" t="s">
        <v>34</v>
      </c>
      <c r="M41" s="103">
        <v>1.2224965263970915</v>
      </c>
      <c r="N41" s="104">
        <v>2</v>
      </c>
      <c r="O41" s="178">
        <v>0.54832713754646845</v>
      </c>
      <c r="P41" s="105">
        <v>1</v>
      </c>
      <c r="Q41" s="116" t="s">
        <v>1163</v>
      </c>
      <c r="R41" s="117">
        <f t="shared" si="7"/>
        <v>3.0115707719131399</v>
      </c>
      <c r="S41" s="117">
        <f t="shared" si="8"/>
        <v>4.7551117451260101</v>
      </c>
      <c r="T41" s="117">
        <f t="shared" si="9"/>
        <v>2.6417287472922282</v>
      </c>
      <c r="U41" s="117">
        <f t="shared" si="10"/>
        <v>39.627039627039629</v>
      </c>
      <c r="Y41" s="86" t="e">
        <f t="shared" si="11"/>
        <v>#N/A</v>
      </c>
      <c r="Z41" t="s">
        <v>237</v>
      </c>
    </row>
    <row r="42" spans="1:27">
      <c r="A42" s="27" t="str">
        <f t="shared" si="6"/>
        <v>Refrigerated warehouse Refrigerated warehouse</v>
      </c>
      <c r="B42" s="27" t="s">
        <v>1198</v>
      </c>
      <c r="C42" s="2">
        <v>11</v>
      </c>
      <c r="D42" s="2">
        <v>20</v>
      </c>
      <c r="E42" t="s">
        <v>1165</v>
      </c>
      <c r="F42" t="s">
        <v>1165</v>
      </c>
      <c r="G42" s="23">
        <v>20</v>
      </c>
      <c r="H42" s="101">
        <v>0.18669134486278502</v>
      </c>
      <c r="I42" s="102">
        <v>8.1783154344236011E-2</v>
      </c>
      <c r="J42" s="102">
        <v>9.2936802973977703E-2</v>
      </c>
      <c r="K42" s="102">
        <v>0.32878974415044832</v>
      </c>
      <c r="L42" s="107" t="s">
        <v>34</v>
      </c>
      <c r="M42" s="103">
        <v>0.17038583070692084</v>
      </c>
      <c r="N42" s="104">
        <v>2</v>
      </c>
      <c r="O42" s="178">
        <v>9.2936802973977703E-2</v>
      </c>
      <c r="P42" s="105">
        <v>1</v>
      </c>
      <c r="Q42" s="116" t="s">
        <v>1166</v>
      </c>
      <c r="R42" s="117">
        <f t="shared" si="7"/>
        <v>0.6075976118772124</v>
      </c>
      <c r="S42" s="117">
        <f t="shared" si="8"/>
        <v>1.3208643736461141</v>
      </c>
      <c r="T42" s="117">
        <f t="shared" si="9"/>
        <v>0.88057624909740939</v>
      </c>
      <c r="U42" s="117">
        <f t="shared" si="10"/>
        <v>4.2381860563678746</v>
      </c>
      <c r="Y42" s="86" t="e">
        <f t="shared" si="11"/>
        <v>#N/A</v>
      </c>
      <c r="Z42" t="s">
        <v>262</v>
      </c>
      <c r="AA42" s="27" t="s">
        <v>1217</v>
      </c>
    </row>
    <row r="43" spans="1:27">
      <c r="A43" s="27" t="str">
        <f t="shared" si="6"/>
        <v>Religious worship Religious worship</v>
      </c>
      <c r="B43" s="27" t="s">
        <v>1198</v>
      </c>
      <c r="C43" s="2">
        <v>12</v>
      </c>
      <c r="D43" s="2">
        <v>21</v>
      </c>
      <c r="E43" t="s">
        <v>1168</v>
      </c>
      <c r="F43" t="s">
        <v>1168</v>
      </c>
      <c r="G43" s="23">
        <v>311</v>
      </c>
      <c r="H43" s="101">
        <v>0.3137573468588149</v>
      </c>
      <c r="I43" s="102">
        <v>8.493384339510876E-2</v>
      </c>
      <c r="J43" s="102">
        <v>0.2193308550185874</v>
      </c>
      <c r="K43" s="102">
        <v>0.73113085501858743</v>
      </c>
      <c r="L43" s="107" t="s">
        <v>34</v>
      </c>
      <c r="M43" s="103">
        <v>0.29844543263937018</v>
      </c>
      <c r="N43" s="104">
        <v>2</v>
      </c>
      <c r="O43" s="178">
        <v>0.54832713754646845</v>
      </c>
      <c r="P43" s="105">
        <v>0.4</v>
      </c>
      <c r="Q43" s="116" t="s">
        <v>1169</v>
      </c>
      <c r="R43" s="117">
        <f t="shared" si="7"/>
        <v>0.2641728747292228</v>
      </c>
      <c r="S43" s="117">
        <f t="shared" si="8"/>
        <v>0.52834574945844559</v>
      </c>
      <c r="T43" s="117">
        <f t="shared" si="9"/>
        <v>0.4402881245487047</v>
      </c>
      <c r="U43" s="117">
        <f t="shared" si="10"/>
        <v>39.627039627039629</v>
      </c>
      <c r="Y43" s="86" t="e">
        <f t="shared" si="11"/>
        <v>#N/A</v>
      </c>
      <c r="Z43" t="s">
        <v>252</v>
      </c>
    </row>
    <row r="44" spans="1:27">
      <c r="A44" s="27" t="str">
        <f t="shared" si="6"/>
        <v>Public assembly Entertainment/culture</v>
      </c>
      <c r="B44" s="27" t="s">
        <v>1198</v>
      </c>
      <c r="C44" s="2">
        <v>13</v>
      </c>
      <c r="D44" s="2">
        <v>22</v>
      </c>
      <c r="E44" t="s">
        <v>1170</v>
      </c>
      <c r="F44" t="s">
        <v>1218</v>
      </c>
      <c r="G44" s="23">
        <v>44</v>
      </c>
      <c r="H44" s="101">
        <v>0.74562544602782799</v>
      </c>
      <c r="I44" s="102">
        <v>0.27702780354109796</v>
      </c>
      <c r="J44" s="102">
        <v>0.54832713754646845</v>
      </c>
      <c r="K44" s="102">
        <v>1.9662160264353574</v>
      </c>
      <c r="L44" s="107" t="s">
        <v>34</v>
      </c>
      <c r="M44" s="103">
        <v>0.74485358050420625</v>
      </c>
      <c r="N44" s="104">
        <v>2</v>
      </c>
      <c r="O44" s="178">
        <v>0.54832713754646845</v>
      </c>
      <c r="P44" s="105">
        <v>1</v>
      </c>
      <c r="Q44" s="116" t="s">
        <v>1171</v>
      </c>
      <c r="R44" s="117">
        <f t="shared" si="7"/>
        <v>0.2641728747292228</v>
      </c>
      <c r="S44" s="117">
        <f t="shared" si="8"/>
        <v>0.52834574945844559</v>
      </c>
      <c r="T44" s="117">
        <f t="shared" si="9"/>
        <v>0.4402881245487047</v>
      </c>
      <c r="U44" s="117">
        <f t="shared" si="10"/>
        <v>39.627039627039629</v>
      </c>
      <c r="Y44" s="86" t="str">
        <f t="shared" si="11"/>
        <v>BA Motion Picture Theater</v>
      </c>
      <c r="AA44" s="27" t="s">
        <v>1219</v>
      </c>
    </row>
    <row r="45" spans="1:27">
      <c r="A45" s="27" t="str">
        <f t="shared" si="6"/>
        <v>Public assembly Library</v>
      </c>
      <c r="B45" s="27" t="s">
        <v>1198</v>
      </c>
      <c r="C45" s="2">
        <v>13</v>
      </c>
      <c r="D45" s="2">
        <v>23</v>
      </c>
      <c r="E45" t="s">
        <v>1170</v>
      </c>
      <c r="F45" t="s">
        <v>59</v>
      </c>
      <c r="G45" s="23">
        <v>36</v>
      </c>
      <c r="H45" s="101">
        <v>1.0571585765831539</v>
      </c>
      <c r="I45" s="102">
        <v>0.40367769000420067</v>
      </c>
      <c r="J45" s="102">
        <v>0.61231688113621208</v>
      </c>
      <c r="K45" s="102">
        <v>2.8652021375464685</v>
      </c>
      <c r="L45" s="107" t="s">
        <v>34</v>
      </c>
      <c r="M45" s="103">
        <v>0.93722970243154469</v>
      </c>
      <c r="N45" s="104">
        <v>2</v>
      </c>
      <c r="O45" s="178">
        <v>0.54832713754646845</v>
      </c>
      <c r="P45" s="105">
        <v>1</v>
      </c>
      <c r="Q45" s="116" t="s">
        <v>1171</v>
      </c>
      <c r="R45" s="117">
        <f t="shared" si="7"/>
        <v>0.2641728747292228</v>
      </c>
      <c r="S45" s="117">
        <f t="shared" si="8"/>
        <v>0.52834574945844559</v>
      </c>
      <c r="T45" s="117">
        <f t="shared" si="9"/>
        <v>0.4402881245487047</v>
      </c>
      <c r="U45" s="117">
        <f t="shared" si="10"/>
        <v>39.627039627039629</v>
      </c>
      <c r="Y45" s="86" t="str">
        <f t="shared" si="11"/>
        <v>BA Library</v>
      </c>
    </row>
    <row r="46" spans="1:27">
      <c r="A46" s="27" t="str">
        <f t="shared" si="6"/>
        <v>Public assembly Recreation</v>
      </c>
      <c r="B46" s="27" t="s">
        <v>1198</v>
      </c>
      <c r="C46" s="2">
        <v>13</v>
      </c>
      <c r="D46" s="2">
        <v>24</v>
      </c>
      <c r="E46" t="s">
        <v>1170</v>
      </c>
      <c r="F46" t="s">
        <v>1220</v>
      </c>
      <c r="G46" s="23">
        <v>92</v>
      </c>
      <c r="H46" s="101">
        <v>0.71634042630720518</v>
      </c>
      <c r="I46" s="102">
        <v>0.24698360586800883</v>
      </c>
      <c r="J46" s="102">
        <v>0.54832713754646845</v>
      </c>
      <c r="K46" s="102">
        <v>2.6539521375464683</v>
      </c>
      <c r="L46" s="107" t="s">
        <v>34</v>
      </c>
      <c r="M46" s="103">
        <v>0.67424666522690402</v>
      </c>
      <c r="N46" s="104">
        <v>2</v>
      </c>
      <c r="O46" s="178">
        <v>0.54832713754646845</v>
      </c>
      <c r="P46" s="105">
        <v>1</v>
      </c>
      <c r="Q46" s="116" t="s">
        <v>1171</v>
      </c>
      <c r="R46" s="117">
        <f t="shared" si="7"/>
        <v>0.2641728747292228</v>
      </c>
      <c r="S46" s="117">
        <f t="shared" si="8"/>
        <v>0.52834574945844559</v>
      </c>
      <c r="T46" s="117">
        <f t="shared" si="9"/>
        <v>0.4402881245487047</v>
      </c>
      <c r="U46" s="117">
        <f t="shared" si="10"/>
        <v>39.627039627039629</v>
      </c>
      <c r="Y46" s="86" t="str">
        <f t="shared" si="11"/>
        <v>BA Exercise Center</v>
      </c>
      <c r="AA46" s="27" t="s">
        <v>1221</v>
      </c>
    </row>
    <row r="47" spans="1:27">
      <c r="A47" s="27" t="str">
        <f t="shared" si="6"/>
        <v>Public assembly Social/meeting</v>
      </c>
      <c r="B47" s="27" t="s">
        <v>1198</v>
      </c>
      <c r="C47" s="2">
        <v>13</v>
      </c>
      <c r="D47" s="2">
        <v>25</v>
      </c>
      <c r="E47" t="s">
        <v>1170</v>
      </c>
      <c r="F47" t="s">
        <v>1172</v>
      </c>
      <c r="G47" s="23">
        <v>76</v>
      </c>
      <c r="H47" s="101">
        <v>0.96243733628573747</v>
      </c>
      <c r="I47" s="102">
        <v>0.67723027765935584</v>
      </c>
      <c r="J47" s="102">
        <v>0.54832713754646845</v>
      </c>
      <c r="K47" s="102">
        <v>5.6038826931020242</v>
      </c>
      <c r="L47" s="107" t="s">
        <v>34</v>
      </c>
      <c r="M47" s="103">
        <v>0.73324325767498066</v>
      </c>
      <c r="N47" s="104">
        <v>2</v>
      </c>
      <c r="O47" s="178">
        <v>0.54832713754646845</v>
      </c>
      <c r="P47" s="105">
        <v>1</v>
      </c>
      <c r="Q47" s="116" t="s">
        <v>1171</v>
      </c>
      <c r="R47" s="117">
        <f t="shared" si="7"/>
        <v>0.2641728747292228</v>
      </c>
      <c r="S47" s="117">
        <f t="shared" si="8"/>
        <v>0.52834574945844559</v>
      </c>
      <c r="T47" s="117">
        <f t="shared" si="9"/>
        <v>0.4402881245487047</v>
      </c>
      <c r="U47" s="117">
        <f t="shared" si="10"/>
        <v>39.627039627039629</v>
      </c>
      <c r="Y47" s="86" t="str">
        <f t="shared" si="11"/>
        <v xml:space="preserve">CS Conference/Meeting/Multipurpose   </v>
      </c>
    </row>
    <row r="48" spans="1:27">
      <c r="A48" s="27" t="str">
        <f t="shared" si="6"/>
        <v>Public assembly Other public assembly</v>
      </c>
      <c r="B48" s="27" t="s">
        <v>1198</v>
      </c>
      <c r="C48" s="2">
        <v>13</v>
      </c>
      <c r="D48" s="2">
        <v>26</v>
      </c>
      <c r="E48" t="s">
        <v>1170</v>
      </c>
      <c r="F48" t="s">
        <v>1222</v>
      </c>
      <c r="G48" s="23">
        <v>31</v>
      </c>
      <c r="H48" s="101">
        <v>0.84297705934921552</v>
      </c>
      <c r="I48" s="102">
        <v>0.34991263787011634</v>
      </c>
      <c r="J48" s="102">
        <v>0.54832713754646845</v>
      </c>
      <c r="K48" s="102">
        <v>2.4463271375464686</v>
      </c>
      <c r="L48" s="107" t="s">
        <v>34</v>
      </c>
      <c r="M48" s="103">
        <v>0.76224769399973591</v>
      </c>
      <c r="N48" s="104">
        <v>2</v>
      </c>
      <c r="O48" s="178">
        <v>0.54832713754646845</v>
      </c>
      <c r="P48" s="105">
        <v>1</v>
      </c>
      <c r="Q48" s="116" t="s">
        <v>1171</v>
      </c>
      <c r="R48" s="117">
        <f t="shared" si="7"/>
        <v>0.2641728747292228</v>
      </c>
      <c r="S48" s="117">
        <f t="shared" si="8"/>
        <v>0.52834574945844559</v>
      </c>
      <c r="T48" s="117">
        <f t="shared" si="9"/>
        <v>0.4402881245487047</v>
      </c>
      <c r="U48" s="117">
        <f t="shared" si="10"/>
        <v>39.627039627039629</v>
      </c>
      <c r="Y48" s="86" t="str">
        <f t="shared" si="11"/>
        <v xml:space="preserve">SS Hotel/Highway Lodging Hotel Lobby  </v>
      </c>
      <c r="AA48" s="27" t="s">
        <v>1223</v>
      </c>
    </row>
    <row r="49" spans="1:27">
      <c r="A49" s="27" t="str">
        <f t="shared" si="6"/>
        <v>Education College/university</v>
      </c>
      <c r="B49" s="27" t="s">
        <v>1198</v>
      </c>
      <c r="C49" s="2">
        <v>14</v>
      </c>
      <c r="D49" s="2">
        <v>27</v>
      </c>
      <c r="E49" t="s">
        <v>1174</v>
      </c>
      <c r="F49" t="s">
        <v>1224</v>
      </c>
      <c r="G49" s="23">
        <v>88</v>
      </c>
      <c r="H49" s="101">
        <v>1.2355628250986819</v>
      </c>
      <c r="I49" s="102">
        <v>0.6179662487019264</v>
      </c>
      <c r="J49" s="102">
        <v>0.76799442379182159</v>
      </c>
      <c r="K49" s="102">
        <v>4.2853497429407579</v>
      </c>
      <c r="L49" s="107" t="s">
        <v>34</v>
      </c>
      <c r="M49" s="103">
        <v>1.4894956500472996</v>
      </c>
      <c r="N49" s="104">
        <v>1.6</v>
      </c>
      <c r="O49" s="178">
        <v>0.74349442379182162</v>
      </c>
      <c r="P49" s="105">
        <v>1</v>
      </c>
      <c r="Q49" s="116" t="s">
        <v>1175</v>
      </c>
      <c r="R49" s="117">
        <f t="shared" si="7"/>
        <v>0.6075976118772124</v>
      </c>
      <c r="S49" s="117">
        <f t="shared" si="8"/>
        <v>1.5850372483753368</v>
      </c>
      <c r="T49" s="117">
        <f t="shared" si="9"/>
        <v>0.88057624909740939</v>
      </c>
      <c r="U49" s="117">
        <f t="shared" si="10"/>
        <v>13.350286077558804</v>
      </c>
      <c r="Y49" s="86" t="e">
        <f t="shared" si="11"/>
        <v>#N/A</v>
      </c>
      <c r="Z49" t="s">
        <v>257</v>
      </c>
    </row>
    <row r="50" spans="1:27">
      <c r="A50" s="27" t="str">
        <f t="shared" si="6"/>
        <v>Education Elementary/middle school</v>
      </c>
      <c r="B50" s="27" t="s">
        <v>1198</v>
      </c>
      <c r="C50" s="2">
        <v>14</v>
      </c>
      <c r="D50" s="2">
        <v>28</v>
      </c>
      <c r="E50" t="s">
        <v>1174</v>
      </c>
      <c r="F50" t="s">
        <v>1225</v>
      </c>
      <c r="G50" s="23">
        <v>330</v>
      </c>
      <c r="H50" s="101">
        <v>0.64798980639530934</v>
      </c>
      <c r="I50" s="102">
        <v>0.8659333562598841</v>
      </c>
      <c r="J50" s="102">
        <v>0.14869888475836432</v>
      </c>
      <c r="K50" s="102">
        <v>14.41467291073239</v>
      </c>
      <c r="L50" s="107" t="s">
        <v>34</v>
      </c>
      <c r="M50" s="103">
        <v>0.55367137492381291</v>
      </c>
      <c r="N50" s="104">
        <v>2</v>
      </c>
      <c r="O50" s="178">
        <v>0.14869888475836432</v>
      </c>
      <c r="P50" s="105">
        <v>1</v>
      </c>
      <c r="Q50" s="116" t="s">
        <v>1226</v>
      </c>
      <c r="R50" s="117">
        <f t="shared" si="7"/>
        <v>0.6075976118772124</v>
      </c>
      <c r="S50" s="117">
        <f t="shared" si="8"/>
        <v>1.5850372483753368</v>
      </c>
      <c r="T50" s="117">
        <f t="shared" si="9"/>
        <v>0.88057624909740939</v>
      </c>
      <c r="U50" s="117">
        <f t="shared" si="10"/>
        <v>13.350286077558804</v>
      </c>
      <c r="Y50" s="86" t="e">
        <f t="shared" si="11"/>
        <v>#N/A</v>
      </c>
      <c r="Z50" t="s">
        <v>257</v>
      </c>
    </row>
    <row r="51" spans="1:27">
      <c r="A51" s="27" t="str">
        <f t="shared" si="6"/>
        <v>Education High school</v>
      </c>
      <c r="B51" s="27" t="s">
        <v>1198</v>
      </c>
      <c r="C51" s="2">
        <v>14</v>
      </c>
      <c r="D51" s="2">
        <v>29</v>
      </c>
      <c r="E51" t="s">
        <v>1174</v>
      </c>
      <c r="F51" t="s">
        <v>1176</v>
      </c>
      <c r="G51" s="23">
        <v>126</v>
      </c>
      <c r="H51" s="101">
        <v>0.64403424440913881</v>
      </c>
      <c r="I51" s="102">
        <v>0.53807428137224067</v>
      </c>
      <c r="J51" s="102">
        <v>0.14869888475836432</v>
      </c>
      <c r="K51" s="102">
        <v>3.7736988847583643</v>
      </c>
      <c r="L51" s="107" t="s">
        <v>34</v>
      </c>
      <c r="M51" s="103">
        <v>0.55489795690629629</v>
      </c>
      <c r="N51" s="104">
        <v>2</v>
      </c>
      <c r="O51" s="178">
        <v>0.14869888475836432</v>
      </c>
      <c r="P51" s="105">
        <v>1</v>
      </c>
      <c r="Q51" s="116" t="s">
        <v>1227</v>
      </c>
      <c r="R51" s="117">
        <f t="shared" si="7"/>
        <v>1.7963755481587149</v>
      </c>
      <c r="S51" s="117">
        <f t="shared" si="8"/>
        <v>3.1700744967506735</v>
      </c>
      <c r="T51" s="117">
        <f t="shared" si="9"/>
        <v>1.7611524981948188</v>
      </c>
      <c r="U51" s="117">
        <f t="shared" si="10"/>
        <v>13.350286077558804</v>
      </c>
      <c r="Y51" s="86" t="e">
        <f t="shared" si="11"/>
        <v>#N/A</v>
      </c>
      <c r="Z51" t="s">
        <v>257</v>
      </c>
    </row>
    <row r="52" spans="1:27">
      <c r="A52" s="27" t="str">
        <f t="shared" si="6"/>
        <v>Education Preschool/daycare</v>
      </c>
      <c r="B52" s="27" t="s">
        <v>1198</v>
      </c>
      <c r="C52" s="2">
        <v>14</v>
      </c>
      <c r="D52" s="2">
        <v>30</v>
      </c>
      <c r="E52" t="s">
        <v>1174</v>
      </c>
      <c r="F52" t="s">
        <v>1228</v>
      </c>
      <c r="G52" s="23">
        <v>46</v>
      </c>
      <c r="H52" s="101">
        <v>0.69038803473597599</v>
      </c>
      <c r="I52" s="102">
        <v>0.40272901930939636</v>
      </c>
      <c r="J52" s="102">
        <v>0.16291317047265003</v>
      </c>
      <c r="K52" s="102">
        <v>1.6792544403139198</v>
      </c>
      <c r="L52" s="107" t="s">
        <v>34</v>
      </c>
      <c r="M52" s="103">
        <v>0.47671165351284217</v>
      </c>
      <c r="N52" s="104">
        <v>2</v>
      </c>
      <c r="O52" s="178">
        <v>0.14869888475836432</v>
      </c>
      <c r="P52" s="105">
        <v>1</v>
      </c>
      <c r="Q52" s="116" t="s">
        <v>1226</v>
      </c>
      <c r="R52" s="117">
        <f t="shared" si="7"/>
        <v>0.6075976118772124</v>
      </c>
      <c r="S52" s="117">
        <f t="shared" si="8"/>
        <v>1.5850372483753368</v>
      </c>
      <c r="T52" s="117">
        <f t="shared" si="9"/>
        <v>0.88057624909740939</v>
      </c>
      <c r="U52" s="117">
        <f t="shared" si="10"/>
        <v>13.350286077558804</v>
      </c>
      <c r="Y52" s="86" t="e">
        <f t="shared" si="11"/>
        <v>#N/A</v>
      </c>
      <c r="Z52" t="s">
        <v>257</v>
      </c>
    </row>
    <row r="53" spans="1:27">
      <c r="A53" s="27" t="str">
        <f t="shared" si="6"/>
        <v>Education Other classroom education</v>
      </c>
      <c r="B53" s="27" t="s">
        <v>1198</v>
      </c>
      <c r="C53" s="2">
        <v>14</v>
      </c>
      <c r="D53" s="2">
        <v>31</v>
      </c>
      <c r="E53" t="s">
        <v>1174</v>
      </c>
      <c r="F53" t="s">
        <v>1229</v>
      </c>
      <c r="G53" s="23">
        <v>59</v>
      </c>
      <c r="H53" s="101">
        <v>0.59397494162373865</v>
      </c>
      <c r="I53" s="102">
        <v>0.44073485578601035</v>
      </c>
      <c r="J53" s="102">
        <v>0.18587360594795541</v>
      </c>
      <c r="K53" s="102">
        <v>2.4937826968570462</v>
      </c>
      <c r="L53" s="107" t="s">
        <v>34</v>
      </c>
      <c r="M53" s="103">
        <v>0.58912884055837</v>
      </c>
      <c r="N53" s="104">
        <v>2</v>
      </c>
      <c r="O53" s="178">
        <v>0.18587360594795541</v>
      </c>
      <c r="P53" s="105">
        <v>1</v>
      </c>
      <c r="Q53" s="116" t="s">
        <v>1175</v>
      </c>
      <c r="R53" s="117">
        <f t="shared" si="7"/>
        <v>0.6075976118772124</v>
      </c>
      <c r="S53" s="117">
        <f t="shared" si="8"/>
        <v>1.5850372483753368</v>
      </c>
      <c r="T53" s="117">
        <f t="shared" si="9"/>
        <v>0.88057624909740939</v>
      </c>
      <c r="U53" s="117">
        <f t="shared" si="10"/>
        <v>13.350286077558804</v>
      </c>
      <c r="Y53" s="86" t="str">
        <f t="shared" si="11"/>
        <v xml:space="preserve">CS Classroom/Lecture/Training   </v>
      </c>
    </row>
    <row r="54" spans="1:27">
      <c r="A54" s="27" t="str">
        <f t="shared" si="6"/>
        <v>Food service Fast food</v>
      </c>
      <c r="B54" s="27" t="s">
        <v>1198</v>
      </c>
      <c r="C54" s="2">
        <v>15</v>
      </c>
      <c r="D54" s="2">
        <v>32</v>
      </c>
      <c r="E54" t="s">
        <v>1177</v>
      </c>
      <c r="F54" t="s">
        <v>1230</v>
      </c>
      <c r="G54" s="23">
        <v>54</v>
      </c>
      <c r="H54" s="101">
        <v>1.4434209678987544</v>
      </c>
      <c r="I54" s="102">
        <v>0.57808813112227064</v>
      </c>
      <c r="J54" s="102">
        <v>0.97300439337614053</v>
      </c>
      <c r="K54" s="102">
        <v>3.6085346964064438</v>
      </c>
      <c r="L54" s="107" t="s">
        <v>34</v>
      </c>
      <c r="M54" s="103">
        <v>1.3683549857758452</v>
      </c>
      <c r="N54" s="104">
        <v>2</v>
      </c>
      <c r="O54" s="178">
        <v>0.92936802973977695</v>
      </c>
      <c r="P54" s="105">
        <v>1</v>
      </c>
      <c r="Q54" s="116" t="s">
        <v>1178</v>
      </c>
      <c r="R54" s="117">
        <f t="shared" si="7"/>
        <v>10.038569239710466</v>
      </c>
      <c r="S54" s="117">
        <f t="shared" si="8"/>
        <v>15.850372483753368</v>
      </c>
      <c r="T54" s="117">
        <f t="shared" si="9"/>
        <v>8.805762490974093</v>
      </c>
      <c r="U54" s="117">
        <f t="shared" si="10"/>
        <v>39.627039627039629</v>
      </c>
      <c r="Y54" s="86" t="str">
        <f t="shared" si="11"/>
        <v>BA Dining: Cafeteria/Fast Food</v>
      </c>
    </row>
    <row r="55" spans="1:27">
      <c r="A55" s="27" t="str">
        <f t="shared" si="6"/>
        <v>Food service Restaurant/cafeteria</v>
      </c>
      <c r="B55" s="27" t="s">
        <v>1198</v>
      </c>
      <c r="C55" s="2">
        <v>15</v>
      </c>
      <c r="D55" s="2">
        <v>33</v>
      </c>
      <c r="E55" t="s">
        <v>1177</v>
      </c>
      <c r="F55" t="s">
        <v>1179</v>
      </c>
      <c r="G55" s="23">
        <v>145</v>
      </c>
      <c r="H55" s="101">
        <v>1.3527188515223769</v>
      </c>
      <c r="I55" s="102">
        <v>0.52858313215563479</v>
      </c>
      <c r="J55" s="102">
        <v>0.93704802973977697</v>
      </c>
      <c r="K55" s="102">
        <v>4.8348225751943223</v>
      </c>
      <c r="L55" s="107" t="s">
        <v>34</v>
      </c>
      <c r="M55" s="103">
        <v>1.2629966462352749</v>
      </c>
      <c r="N55" s="104">
        <v>2</v>
      </c>
      <c r="O55" s="178">
        <v>0.92936802973977695</v>
      </c>
      <c r="P55" s="105">
        <v>1</v>
      </c>
      <c r="Q55" s="116" t="s">
        <v>1178</v>
      </c>
      <c r="R55" s="117">
        <f t="shared" si="7"/>
        <v>10.038569239710466</v>
      </c>
      <c r="S55" s="117">
        <f t="shared" si="8"/>
        <v>15.850372483753368</v>
      </c>
      <c r="T55" s="117">
        <f t="shared" si="9"/>
        <v>8.805762490974093</v>
      </c>
      <c r="U55" s="117">
        <f t="shared" si="10"/>
        <v>39.627039627039629</v>
      </c>
      <c r="Y55" s="86" t="str">
        <f t="shared" si="11"/>
        <v>BA Dining: Family</v>
      </c>
    </row>
    <row r="56" spans="1:27">
      <c r="A56" s="27" t="str">
        <f t="shared" si="6"/>
        <v>Food service Other food service</v>
      </c>
      <c r="B56" s="27" t="s">
        <v>1198</v>
      </c>
      <c r="C56" s="2">
        <v>15</v>
      </c>
      <c r="D56" s="2">
        <v>34</v>
      </c>
      <c r="E56" t="s">
        <v>1177</v>
      </c>
      <c r="F56" t="s">
        <v>1231</v>
      </c>
      <c r="G56" s="23">
        <v>43</v>
      </c>
      <c r="H56" s="101">
        <v>1.469232610528028</v>
      </c>
      <c r="I56" s="102">
        <v>0.62316267085833188</v>
      </c>
      <c r="J56" s="102">
        <v>0.938968029739777</v>
      </c>
      <c r="K56" s="102">
        <v>3.5093680297397771</v>
      </c>
      <c r="L56" s="107" t="s">
        <v>34</v>
      </c>
      <c r="M56" s="103">
        <v>1.3160573887824656</v>
      </c>
      <c r="N56" s="104">
        <v>2</v>
      </c>
      <c r="O56" s="178">
        <v>0.92936802973977695</v>
      </c>
      <c r="P56" s="105">
        <v>1</v>
      </c>
      <c r="Q56" s="116" t="s">
        <v>1178</v>
      </c>
      <c r="R56" s="117">
        <f t="shared" si="7"/>
        <v>10.038569239710466</v>
      </c>
      <c r="S56" s="117">
        <f t="shared" si="8"/>
        <v>15.850372483753368</v>
      </c>
      <c r="T56" s="117">
        <f t="shared" si="9"/>
        <v>8.805762490974093</v>
      </c>
      <c r="U56" s="117">
        <f t="shared" si="10"/>
        <v>39.627039627039629</v>
      </c>
      <c r="Y56" s="86" t="str">
        <f t="shared" si="11"/>
        <v>BA Dining: Bar Lounge/Leisure</v>
      </c>
      <c r="AA56" s="27" t="s">
        <v>1232</v>
      </c>
    </row>
    <row r="57" spans="1:27">
      <c r="A57" s="27" t="str">
        <f t="shared" si="6"/>
        <v>Inpatient health care Hospital/inpatient health</v>
      </c>
      <c r="B57" s="27" t="s">
        <v>1198</v>
      </c>
      <c r="C57" s="2">
        <v>16</v>
      </c>
      <c r="D57" s="2">
        <v>35</v>
      </c>
      <c r="E57" t="s">
        <v>1180</v>
      </c>
      <c r="F57" t="s">
        <v>1182</v>
      </c>
      <c r="G57" s="23">
        <v>217</v>
      </c>
      <c r="H57" s="101">
        <v>1.3056883219055315</v>
      </c>
      <c r="I57" s="102">
        <v>0.41514764030463153</v>
      </c>
      <c r="J57" s="102">
        <v>0.82811345105328371</v>
      </c>
      <c r="K57" s="102">
        <v>4.3918665248171358</v>
      </c>
      <c r="L57" s="107" t="s">
        <v>34</v>
      </c>
      <c r="M57" s="103">
        <v>1.2488271893219809</v>
      </c>
      <c r="N57" s="104">
        <v>2</v>
      </c>
      <c r="O57" s="178">
        <v>0.762081784386617</v>
      </c>
      <c r="P57" s="105">
        <v>1</v>
      </c>
      <c r="Q57" s="116" t="s">
        <v>1181</v>
      </c>
      <c r="R57" s="117">
        <f t="shared" si="7"/>
        <v>3.0115707719131399</v>
      </c>
      <c r="S57" s="117">
        <f t="shared" si="8"/>
        <v>4.7551117451260101</v>
      </c>
      <c r="T57" s="117">
        <f t="shared" si="9"/>
        <v>2.6417287472922282</v>
      </c>
      <c r="U57" s="117">
        <f t="shared" si="10"/>
        <v>39.627039627039629</v>
      </c>
      <c r="Y57" s="86" t="str">
        <f t="shared" si="11"/>
        <v xml:space="preserve">SS Hospital Corridor/Transition  </v>
      </c>
    </row>
    <row r="58" spans="1:27">
      <c r="A58" s="27" t="str">
        <f t="shared" si="6"/>
        <v>Nursing Nursing home/assisted living</v>
      </c>
      <c r="B58" s="27" t="s">
        <v>1198</v>
      </c>
      <c r="C58" s="2">
        <v>17</v>
      </c>
      <c r="D58" s="2">
        <v>36</v>
      </c>
      <c r="E58" t="s">
        <v>1184</v>
      </c>
      <c r="F58" t="s">
        <v>1186</v>
      </c>
      <c r="G58" s="23">
        <v>73</v>
      </c>
      <c r="H58" s="101">
        <v>1.5077787668998561</v>
      </c>
      <c r="I58" s="102">
        <v>0.41007573905509298</v>
      </c>
      <c r="J58" s="102">
        <v>1.1353650399430515</v>
      </c>
      <c r="K58" s="102">
        <v>3.3111534003936147</v>
      </c>
      <c r="L58" s="107" t="s">
        <v>34</v>
      </c>
      <c r="M58" s="103">
        <v>1.4046493036603716</v>
      </c>
      <c r="N58" s="104">
        <v>2</v>
      </c>
      <c r="O58" s="178">
        <v>1.1152416356877324</v>
      </c>
      <c r="P58" s="105">
        <v>1</v>
      </c>
      <c r="Q58" s="116" t="s">
        <v>1185</v>
      </c>
      <c r="R58" s="117">
        <f t="shared" si="7"/>
        <v>3.0115707719131399</v>
      </c>
      <c r="S58" s="117">
        <f t="shared" si="8"/>
        <v>4.7551117451260101</v>
      </c>
      <c r="T58" s="117">
        <f t="shared" si="9"/>
        <v>2.6417287472922282</v>
      </c>
      <c r="U58" s="117">
        <f t="shared" si="10"/>
        <v>39.627039627039629</v>
      </c>
      <c r="Y58" s="86" t="str">
        <f t="shared" si="11"/>
        <v xml:space="preserve">SS Hotel/Highway Lodging Hotel Guest Rooms  </v>
      </c>
    </row>
    <row r="59" spans="1:27">
      <c r="A59" s="27" t="str">
        <f t="shared" si="6"/>
        <v>Lodging Dormitory/fraternity/sorority</v>
      </c>
      <c r="B59" s="27" t="s">
        <v>1198</v>
      </c>
      <c r="C59" s="2">
        <v>18</v>
      </c>
      <c r="D59" s="2">
        <v>37</v>
      </c>
      <c r="E59" t="s">
        <v>492</v>
      </c>
      <c r="F59" t="s">
        <v>1233</v>
      </c>
      <c r="G59" s="23">
        <v>37</v>
      </c>
      <c r="H59" s="101">
        <v>1.9603827164460956</v>
      </c>
      <c r="I59" s="102">
        <v>0.68006157616324192</v>
      </c>
      <c r="J59" s="102">
        <v>1.1152416356877324</v>
      </c>
      <c r="K59" s="102">
        <v>3.9055894617746887</v>
      </c>
      <c r="L59" s="107" t="s">
        <v>34</v>
      </c>
      <c r="M59" s="103">
        <v>1.9561272315249876</v>
      </c>
      <c r="N59" s="104">
        <v>2</v>
      </c>
      <c r="O59" s="178">
        <v>0.29739776951672864</v>
      </c>
      <c r="P59" s="105">
        <v>1</v>
      </c>
      <c r="Q59" s="116" t="s">
        <v>1188</v>
      </c>
      <c r="R59" s="117">
        <f t="shared" si="7"/>
        <v>14.027579648121732</v>
      </c>
      <c r="S59" s="117">
        <f t="shared" si="8"/>
        <v>13.20864373646114</v>
      </c>
      <c r="T59" s="117">
        <f t="shared" si="9"/>
        <v>13.208643736461141</v>
      </c>
      <c r="U59" s="117">
        <f t="shared" si="10"/>
        <v>39.627039627039629</v>
      </c>
      <c r="Y59" s="86" t="str">
        <f t="shared" si="11"/>
        <v>BA Dormitory</v>
      </c>
    </row>
    <row r="60" spans="1:27">
      <c r="A60" s="27" t="str">
        <f t="shared" si="6"/>
        <v>Lodging Hotel</v>
      </c>
      <c r="B60" s="27" t="s">
        <v>1198</v>
      </c>
      <c r="C60" s="2">
        <v>18</v>
      </c>
      <c r="D60" s="2">
        <v>38</v>
      </c>
      <c r="E60" t="s">
        <v>492</v>
      </c>
      <c r="F60" t="s">
        <v>514</v>
      </c>
      <c r="G60" s="23">
        <v>86</v>
      </c>
      <c r="H60" s="101">
        <v>1.6138736952937749</v>
      </c>
      <c r="I60" s="102">
        <v>0.59482230928200408</v>
      </c>
      <c r="J60" s="102">
        <v>1.1348416356877324</v>
      </c>
      <c r="K60" s="102">
        <v>4.8452416356877324</v>
      </c>
      <c r="L60" s="107" t="s">
        <v>34</v>
      </c>
      <c r="M60" s="103">
        <v>1.5641288213559472</v>
      </c>
      <c r="N60" s="104">
        <v>2</v>
      </c>
      <c r="O60" s="178">
        <v>0.29739776951672864</v>
      </c>
      <c r="P60" s="105">
        <v>1</v>
      </c>
      <c r="Q60" s="116" t="s">
        <v>1188</v>
      </c>
      <c r="R60" s="117">
        <f t="shared" si="7"/>
        <v>14.027579648121732</v>
      </c>
      <c r="S60" s="117">
        <f t="shared" si="8"/>
        <v>13.20864373646114</v>
      </c>
      <c r="T60" s="117">
        <f t="shared" si="9"/>
        <v>13.208643736461141</v>
      </c>
      <c r="U60" s="117">
        <f t="shared" si="10"/>
        <v>39.627039627039629</v>
      </c>
      <c r="Y60" s="86" t="str">
        <f t="shared" si="11"/>
        <v xml:space="preserve">BA Hotel </v>
      </c>
    </row>
    <row r="61" spans="1:27">
      <c r="A61" s="27" t="str">
        <f t="shared" si="6"/>
        <v>Lodging Motel or inn</v>
      </c>
      <c r="B61" s="27" t="s">
        <v>1198</v>
      </c>
      <c r="C61" s="2">
        <v>18</v>
      </c>
      <c r="D61" s="2">
        <v>39</v>
      </c>
      <c r="E61" t="s">
        <v>492</v>
      </c>
      <c r="F61" t="s">
        <v>1234</v>
      </c>
      <c r="G61" s="23">
        <v>109</v>
      </c>
      <c r="H61" s="101">
        <v>1.7928555545507239</v>
      </c>
      <c r="I61" s="102">
        <v>1.1504939468005737</v>
      </c>
      <c r="J61" s="102">
        <v>1.1152416356877324</v>
      </c>
      <c r="K61" s="102">
        <v>8.4774638579099548</v>
      </c>
      <c r="L61" s="107" t="s">
        <v>34</v>
      </c>
      <c r="M61" s="103">
        <v>1.5696349054087673</v>
      </c>
      <c r="N61" s="104">
        <v>2</v>
      </c>
      <c r="O61" s="178">
        <v>0.29739776951672864</v>
      </c>
      <c r="P61" s="105">
        <v>1</v>
      </c>
      <c r="Q61" s="116" t="s">
        <v>1188</v>
      </c>
      <c r="R61" s="117">
        <f t="shared" si="7"/>
        <v>14.027579648121732</v>
      </c>
      <c r="S61" s="117">
        <f t="shared" si="8"/>
        <v>13.20864373646114</v>
      </c>
      <c r="T61" s="117">
        <f t="shared" si="9"/>
        <v>13.208643736461141</v>
      </c>
      <c r="U61" s="117">
        <f t="shared" si="10"/>
        <v>39.627039627039629</v>
      </c>
      <c r="Y61" s="86" t="str">
        <f t="shared" si="11"/>
        <v xml:space="preserve">SS Hotel/Highway Lodging Highway Lodging Guest Rooms  </v>
      </c>
    </row>
    <row r="62" spans="1:27">
      <c r="A62" s="27" t="str">
        <f t="shared" si="6"/>
        <v>Lodging Other lodging</v>
      </c>
      <c r="B62" s="27" t="s">
        <v>1198</v>
      </c>
      <c r="C62" s="2">
        <v>18</v>
      </c>
      <c r="D62" s="2">
        <v>40</v>
      </c>
      <c r="E62" t="s">
        <v>492</v>
      </c>
      <c r="F62" t="s">
        <v>1235</v>
      </c>
      <c r="G62" s="23">
        <v>28</v>
      </c>
      <c r="H62" s="101">
        <v>1.8797962049689618</v>
      </c>
      <c r="I62" s="102">
        <v>1.3374013457038725</v>
      </c>
      <c r="J62" s="102">
        <v>1.1152416356877324</v>
      </c>
      <c r="K62" s="102">
        <v>7.1141860801321766</v>
      </c>
      <c r="L62" s="107" t="s">
        <v>34</v>
      </c>
      <c r="M62" s="103">
        <v>1.4244758690515631</v>
      </c>
      <c r="N62" s="104">
        <v>2</v>
      </c>
      <c r="O62" s="178">
        <v>0.29739776951672864</v>
      </c>
      <c r="P62" s="105">
        <v>1</v>
      </c>
      <c r="Q62" s="116" t="s">
        <v>1188</v>
      </c>
      <c r="R62" s="117">
        <f t="shared" si="7"/>
        <v>14.027579648121732</v>
      </c>
      <c r="S62" s="117">
        <f t="shared" si="8"/>
        <v>13.20864373646114</v>
      </c>
      <c r="T62" s="117">
        <f t="shared" si="9"/>
        <v>13.208643736461141</v>
      </c>
      <c r="U62" s="117">
        <f t="shared" si="10"/>
        <v>39.627039627039629</v>
      </c>
      <c r="Y62" s="86" t="str">
        <f t="shared" si="11"/>
        <v>BA Multifamily</v>
      </c>
      <c r="AA62" s="27" t="s">
        <v>1236</v>
      </c>
    </row>
    <row r="63" spans="1:27">
      <c r="A63" s="27" t="str">
        <f t="shared" si="6"/>
        <v>Strip shopping mall Strip shopping mall</v>
      </c>
      <c r="B63" s="27" t="s">
        <v>1198</v>
      </c>
      <c r="C63" s="2">
        <v>23</v>
      </c>
      <c r="D63" s="2">
        <v>50</v>
      </c>
      <c r="E63" t="s">
        <v>1189</v>
      </c>
      <c r="F63" t="s">
        <v>1189</v>
      </c>
      <c r="G63" s="23">
        <v>349</v>
      </c>
      <c r="H63" s="101" t="s">
        <v>34</v>
      </c>
      <c r="I63" s="101" t="s">
        <v>34</v>
      </c>
      <c r="J63" s="101" t="s">
        <v>34</v>
      </c>
      <c r="K63" s="101" t="s">
        <v>34</v>
      </c>
      <c r="L63" s="107" t="s">
        <v>34</v>
      </c>
      <c r="M63" s="108" t="s">
        <v>34</v>
      </c>
      <c r="N63" s="104">
        <v>2</v>
      </c>
      <c r="O63" s="178">
        <v>0.54832713754646845</v>
      </c>
      <c r="P63" s="105">
        <v>1</v>
      </c>
      <c r="Q63" s="116" t="s">
        <v>75</v>
      </c>
      <c r="R63" s="117">
        <f t="shared" si="7"/>
        <v>0.6075976118772124</v>
      </c>
      <c r="S63" s="117">
        <f t="shared" si="8"/>
        <v>1.0566914989168912</v>
      </c>
      <c r="T63" s="117">
        <f t="shared" si="9"/>
        <v>0.88057624909740939</v>
      </c>
      <c r="U63" s="117">
        <f t="shared" si="10"/>
        <v>39.627039627039629</v>
      </c>
      <c r="Y63" s="86" t="e">
        <f t="shared" si="11"/>
        <v>#N/A</v>
      </c>
      <c r="Z63" t="s">
        <v>256</v>
      </c>
    </row>
    <row r="64" spans="1:27">
      <c r="A64" s="27" t="str">
        <f t="shared" si="6"/>
        <v>Enclosed mall Enclosed mall</v>
      </c>
      <c r="B64" s="27" t="s">
        <v>1198</v>
      </c>
      <c r="C64" s="2">
        <v>24</v>
      </c>
      <c r="D64" s="2">
        <v>51</v>
      </c>
      <c r="E64" t="s">
        <v>1190</v>
      </c>
      <c r="F64" t="s">
        <v>1190</v>
      </c>
      <c r="G64" s="23">
        <v>46</v>
      </c>
      <c r="H64" s="101" t="s">
        <v>34</v>
      </c>
      <c r="I64" s="101" t="s">
        <v>34</v>
      </c>
      <c r="J64" s="101" t="s">
        <v>34</v>
      </c>
      <c r="K64" s="101" t="s">
        <v>34</v>
      </c>
      <c r="L64" s="107" t="s">
        <v>34</v>
      </c>
      <c r="M64" s="108" t="s">
        <v>34</v>
      </c>
      <c r="N64" s="104">
        <v>2</v>
      </c>
      <c r="O64" s="178">
        <v>0.54832713754646845</v>
      </c>
      <c r="P64" s="105">
        <v>1</v>
      </c>
      <c r="Q64" s="116" t="s">
        <v>75</v>
      </c>
      <c r="R64" s="117">
        <f t="shared" si="7"/>
        <v>0.6075976118772124</v>
      </c>
      <c r="S64" s="117">
        <f t="shared" si="8"/>
        <v>1.0566914989168912</v>
      </c>
      <c r="T64" s="117">
        <f t="shared" si="9"/>
        <v>0.88057624909740939</v>
      </c>
      <c r="U64" s="117">
        <f t="shared" si="10"/>
        <v>39.627039627039629</v>
      </c>
      <c r="Y64" s="86" t="e">
        <f t="shared" si="11"/>
        <v>#N/A</v>
      </c>
      <c r="Z64" t="s">
        <v>256</v>
      </c>
      <c r="AA64" s="27" t="s">
        <v>1191</v>
      </c>
    </row>
    <row r="65" spans="1:27">
      <c r="A65" s="27" t="str">
        <f t="shared" si="6"/>
        <v>Retail (except Malls) Vehicle dealership/showroom</v>
      </c>
      <c r="B65" s="27" t="s">
        <v>1198</v>
      </c>
      <c r="C65" s="2">
        <v>25</v>
      </c>
      <c r="D65" s="2">
        <v>41</v>
      </c>
      <c r="E65" s="27" t="s">
        <v>1192</v>
      </c>
      <c r="F65" t="s">
        <v>1237</v>
      </c>
      <c r="G65" s="23">
        <v>39</v>
      </c>
      <c r="H65" s="101">
        <v>1.6643187116208149</v>
      </c>
      <c r="I65" s="102">
        <v>0.52427052224661419</v>
      </c>
      <c r="J65" s="102">
        <v>1.1260194134655102</v>
      </c>
      <c r="K65" s="102">
        <v>3.8015749690210656</v>
      </c>
      <c r="L65" s="107" t="s">
        <v>34</v>
      </c>
      <c r="M65" s="103">
        <v>1.5443644939567032</v>
      </c>
      <c r="N65" s="104">
        <v>2</v>
      </c>
      <c r="O65" s="178">
        <v>0.34386617100371747</v>
      </c>
      <c r="P65" s="105">
        <v>1</v>
      </c>
      <c r="Q65" s="116" t="s">
        <v>75</v>
      </c>
      <c r="R65" s="117">
        <f t="shared" si="7"/>
        <v>0.6075976118772124</v>
      </c>
      <c r="S65" s="117">
        <f t="shared" si="8"/>
        <v>1.0566914989168912</v>
      </c>
      <c r="T65" s="117">
        <f t="shared" si="9"/>
        <v>0.88057624909740939</v>
      </c>
      <c r="U65" s="117">
        <f t="shared" si="10"/>
        <v>39.627039627039629</v>
      </c>
      <c r="Y65" s="86" t="e">
        <f t="shared" si="11"/>
        <v>#N/A</v>
      </c>
      <c r="Z65" t="s">
        <v>256</v>
      </c>
    </row>
    <row r="66" spans="1:27">
      <c r="A66" s="27" t="str">
        <f t="shared" si="6"/>
        <v>Retail (except Malls) Retail store</v>
      </c>
      <c r="B66" s="27" t="s">
        <v>1198</v>
      </c>
      <c r="C66" s="2">
        <v>25</v>
      </c>
      <c r="D66" s="2">
        <v>42</v>
      </c>
      <c r="E66" s="27" t="s">
        <v>1192</v>
      </c>
      <c r="F66" t="s">
        <v>1193</v>
      </c>
      <c r="G66" s="23">
        <v>291</v>
      </c>
      <c r="H66" s="101">
        <v>0.62919327004250636</v>
      </c>
      <c r="I66" s="102">
        <v>0.40891387820936387</v>
      </c>
      <c r="J66" s="102">
        <v>0.34386617100371747</v>
      </c>
      <c r="K66" s="102">
        <v>3.9328661710037176</v>
      </c>
      <c r="L66" s="107" t="s">
        <v>34</v>
      </c>
      <c r="M66" s="103">
        <v>0.549276732341064</v>
      </c>
      <c r="N66" s="104">
        <v>2</v>
      </c>
      <c r="O66" s="178">
        <v>0.34386617100371747</v>
      </c>
      <c r="P66" s="105">
        <v>1</v>
      </c>
      <c r="Q66" s="116" t="s">
        <v>75</v>
      </c>
      <c r="R66" s="117">
        <f t="shared" si="7"/>
        <v>0.6075976118772124</v>
      </c>
      <c r="S66" s="117">
        <f t="shared" si="8"/>
        <v>1.0566914989168912</v>
      </c>
      <c r="T66" s="117">
        <f t="shared" si="9"/>
        <v>0.88057624909740939</v>
      </c>
      <c r="U66" s="117">
        <f t="shared" si="10"/>
        <v>39.627039627039629</v>
      </c>
      <c r="Y66" s="86" t="str">
        <f t="shared" si="11"/>
        <v>SS Retail Sales Area</v>
      </c>
    </row>
    <row r="67" spans="1:27">
      <c r="A67" s="27" t="str">
        <f t="shared" ref="A67:A73" si="12">E67&amp;" "&amp;F67</f>
        <v>Retail (except Malls) Other retail</v>
      </c>
      <c r="B67" s="27" t="s">
        <v>1198</v>
      </c>
      <c r="C67" s="2">
        <v>25</v>
      </c>
      <c r="D67" s="2">
        <v>43</v>
      </c>
      <c r="E67" s="27" t="s">
        <v>1192</v>
      </c>
      <c r="F67" t="s">
        <v>1238</v>
      </c>
      <c r="G67" s="23">
        <v>25</v>
      </c>
      <c r="H67" s="101">
        <v>0.92190908041976405</v>
      </c>
      <c r="I67" s="102">
        <v>0.663006673984045</v>
      </c>
      <c r="J67" s="102">
        <v>0.38226617100371746</v>
      </c>
      <c r="K67" s="102">
        <v>2.6871995043370509</v>
      </c>
      <c r="L67" s="107" t="s">
        <v>34</v>
      </c>
      <c r="M67" s="103">
        <v>0.82156974777792124</v>
      </c>
      <c r="N67" s="104">
        <v>2</v>
      </c>
      <c r="O67" s="178">
        <v>0.34386617100371747</v>
      </c>
      <c r="P67" s="105">
        <v>1</v>
      </c>
      <c r="Q67" s="116" t="s">
        <v>75</v>
      </c>
      <c r="R67" s="117">
        <f t="shared" ref="R67:R73" si="13">VLOOKUP($Q67,_NREL,7,FALSE)</f>
        <v>0.6075976118772124</v>
      </c>
      <c r="S67" s="117">
        <f t="shared" ref="S67:S73" si="14">VLOOKUP($Q67,_NREL,8,FALSE)</f>
        <v>1.0566914989168912</v>
      </c>
      <c r="T67" s="117">
        <f t="shared" ref="T67:T73" si="15">VLOOKUP($Q67,_NREL,9,FALSE)</f>
        <v>0.88057624909740939</v>
      </c>
      <c r="U67" s="117">
        <f t="shared" ref="U67:U73" si="16">VLOOKUP($Q67,_NREL,11,FALSE)</f>
        <v>39.627039627039629</v>
      </c>
      <c r="Y67" s="86" t="str">
        <f t="shared" si="11"/>
        <v xml:space="preserve">CS Dressing/Fitting Room Performing Arts Theater   </v>
      </c>
    </row>
    <row r="68" spans="1:27">
      <c r="A68" s="27" t="str">
        <f t="shared" si="12"/>
        <v>Service (except Food) Post office/postal center</v>
      </c>
      <c r="B68" s="27" t="s">
        <v>1198</v>
      </c>
      <c r="C68" s="2">
        <v>26</v>
      </c>
      <c r="D68" s="2">
        <v>44</v>
      </c>
      <c r="E68" s="27" t="s">
        <v>1194</v>
      </c>
      <c r="F68" t="s">
        <v>1239</v>
      </c>
      <c r="G68" s="23">
        <v>23</v>
      </c>
      <c r="H68" s="101">
        <v>0.93006761479471101</v>
      </c>
      <c r="I68" s="102">
        <v>0.46102821788655407</v>
      </c>
      <c r="J68" s="102">
        <v>0.54832713754646845</v>
      </c>
      <c r="K68" s="102">
        <v>2.6029173014808946</v>
      </c>
      <c r="L68" s="107" t="s">
        <v>34</v>
      </c>
      <c r="M68" s="103">
        <v>0.90907201553445571</v>
      </c>
      <c r="N68" s="104">
        <v>2</v>
      </c>
      <c r="O68" s="178">
        <v>0.54832713754646845</v>
      </c>
      <c r="P68" s="105">
        <v>1</v>
      </c>
      <c r="Q68" s="116" t="s">
        <v>1195</v>
      </c>
      <c r="R68" s="117">
        <f t="shared" si="13"/>
        <v>1.0038569239710466</v>
      </c>
      <c r="S68" s="117">
        <f t="shared" si="14"/>
        <v>1.5850372483753368</v>
      </c>
      <c r="T68" s="117">
        <f t="shared" si="15"/>
        <v>0.88057624909740939</v>
      </c>
      <c r="U68" s="117">
        <f t="shared" si="16"/>
        <v>39.627039627039629</v>
      </c>
      <c r="Y68" s="86" t="str">
        <f t="shared" ref="Y68:Y73" si="17">VLOOKUP(A68,$Y$82:$Z$217,2,FALSE)</f>
        <v>BA Post Office</v>
      </c>
    </row>
    <row r="69" spans="1:27">
      <c r="A69" s="27" t="str">
        <f t="shared" si="12"/>
        <v>Service (except Food) Repair shop</v>
      </c>
      <c r="B69" s="27" t="s">
        <v>1198</v>
      </c>
      <c r="C69" s="2">
        <v>26</v>
      </c>
      <c r="D69" s="2">
        <v>45</v>
      </c>
      <c r="E69" s="27" t="s">
        <v>1194</v>
      </c>
      <c r="F69" t="s">
        <v>1196</v>
      </c>
      <c r="G69" s="23">
        <v>44</v>
      </c>
      <c r="H69" s="101">
        <v>0.47708884456321848</v>
      </c>
      <c r="I69" s="102">
        <v>0.19844528721986518</v>
      </c>
      <c r="J69" s="102">
        <v>0.18587360594795541</v>
      </c>
      <c r="K69" s="102">
        <v>0.99769178776613721</v>
      </c>
      <c r="L69" s="107" t="s">
        <v>34</v>
      </c>
      <c r="M69" s="103">
        <v>0.42833678057910263</v>
      </c>
      <c r="N69" s="104">
        <v>2</v>
      </c>
      <c r="O69" s="178">
        <v>0.54832713754646845</v>
      </c>
      <c r="P69" s="105">
        <v>1</v>
      </c>
      <c r="Q69" s="116" t="s">
        <v>1195</v>
      </c>
      <c r="R69" s="117">
        <f t="shared" si="13"/>
        <v>1.0038569239710466</v>
      </c>
      <c r="S69" s="117">
        <f t="shared" si="14"/>
        <v>1.5850372483753368</v>
      </c>
      <c r="T69" s="117">
        <f t="shared" si="15"/>
        <v>0.88057624909740939</v>
      </c>
      <c r="U69" s="117">
        <f t="shared" si="16"/>
        <v>39.627039627039629</v>
      </c>
      <c r="Y69" s="86" t="str">
        <f t="shared" si="17"/>
        <v>BA Workshop</v>
      </c>
    </row>
    <row r="70" spans="1:27">
      <c r="A70" s="27" t="str">
        <f t="shared" si="12"/>
        <v>Service (except Food) Vehicle service/repair shop</v>
      </c>
      <c r="B70" s="27" t="s">
        <v>1198</v>
      </c>
      <c r="C70" s="2">
        <v>26</v>
      </c>
      <c r="D70" s="2">
        <v>46</v>
      </c>
      <c r="E70" s="27" t="s">
        <v>1194</v>
      </c>
      <c r="F70" t="s">
        <v>1240</v>
      </c>
      <c r="G70" s="23">
        <v>125</v>
      </c>
      <c r="H70" s="101">
        <v>0.54789202100047574</v>
      </c>
      <c r="I70" s="102">
        <v>0.35297671269214431</v>
      </c>
      <c r="J70" s="102">
        <v>0.18587360594795541</v>
      </c>
      <c r="K70" s="102">
        <v>2.5371556572300067</v>
      </c>
      <c r="L70" s="107" t="s">
        <v>34</v>
      </c>
      <c r="M70" s="103">
        <v>0.50325197968776458</v>
      </c>
      <c r="N70" s="104">
        <v>2</v>
      </c>
      <c r="O70" s="178">
        <v>0.54832713754646845</v>
      </c>
      <c r="P70" s="105">
        <v>1</v>
      </c>
      <c r="Q70" s="116" t="s">
        <v>1195</v>
      </c>
      <c r="R70" s="117">
        <f t="shared" si="13"/>
        <v>1.0038569239710466</v>
      </c>
      <c r="S70" s="117">
        <f t="shared" si="14"/>
        <v>1.5850372483753368</v>
      </c>
      <c r="T70" s="117">
        <f t="shared" si="15"/>
        <v>0.88057624909740939</v>
      </c>
      <c r="U70" s="117">
        <f t="shared" si="16"/>
        <v>39.627039627039629</v>
      </c>
      <c r="Y70" s="86" t="str">
        <f t="shared" si="17"/>
        <v>BA Automotive Facility</v>
      </c>
    </row>
    <row r="71" spans="1:27">
      <c r="A71" s="27" t="str">
        <f t="shared" si="12"/>
        <v>Service (except Food) Vehicle storage/maintenance</v>
      </c>
      <c r="B71" s="27" t="s">
        <v>1198</v>
      </c>
      <c r="C71" s="2">
        <v>26</v>
      </c>
      <c r="D71" s="2">
        <v>47</v>
      </c>
      <c r="E71" s="27" t="s">
        <v>1194</v>
      </c>
      <c r="F71" t="s">
        <v>1241</v>
      </c>
      <c r="G71" s="23">
        <v>99</v>
      </c>
      <c r="H71" s="101">
        <v>0.34856384619377995</v>
      </c>
      <c r="I71" s="102">
        <v>0.20482405558889696</v>
      </c>
      <c r="J71" s="102">
        <v>0.18587360594795541</v>
      </c>
      <c r="K71" s="102">
        <v>1.3525402726146221</v>
      </c>
      <c r="L71" s="107" t="s">
        <v>34</v>
      </c>
      <c r="M71" s="103">
        <v>0.32656593914218118</v>
      </c>
      <c r="N71" s="104">
        <v>2</v>
      </c>
      <c r="O71" s="178">
        <v>0.54832713754646845</v>
      </c>
      <c r="P71" s="105">
        <v>1</v>
      </c>
      <c r="Q71" s="116" t="s">
        <v>1195</v>
      </c>
      <c r="R71" s="117">
        <f t="shared" si="13"/>
        <v>1.0038569239710466</v>
      </c>
      <c r="S71" s="117">
        <f t="shared" si="14"/>
        <v>1.5850372483753368</v>
      </c>
      <c r="T71" s="117">
        <f t="shared" si="15"/>
        <v>0.88057624909740939</v>
      </c>
      <c r="U71" s="117">
        <f t="shared" si="16"/>
        <v>39.627039627039629</v>
      </c>
      <c r="Y71" s="86" t="str">
        <f t="shared" si="17"/>
        <v>BA Parking Garage</v>
      </c>
    </row>
    <row r="72" spans="1:27">
      <c r="A72" s="27" t="str">
        <f t="shared" si="12"/>
        <v>Service (except Food) Other service</v>
      </c>
      <c r="B72" s="27" t="s">
        <v>1198</v>
      </c>
      <c r="C72" s="2">
        <v>26</v>
      </c>
      <c r="D72" s="2">
        <v>48</v>
      </c>
      <c r="E72" s="27" t="s">
        <v>1194</v>
      </c>
      <c r="F72" t="s">
        <v>1242</v>
      </c>
      <c r="G72" s="23">
        <v>79</v>
      </c>
      <c r="H72" s="101">
        <v>0.61364824036833088</v>
      </c>
      <c r="I72" s="102">
        <v>0.68334550212481704</v>
      </c>
      <c r="J72" s="102">
        <v>0.18587360594795541</v>
      </c>
      <c r="K72" s="102">
        <v>5.441873605947956</v>
      </c>
      <c r="L72" s="107" t="s">
        <v>34</v>
      </c>
      <c r="M72" s="103">
        <v>0.51912260356910667</v>
      </c>
      <c r="N72" s="104">
        <v>2</v>
      </c>
      <c r="O72" s="178">
        <v>0.54832713754646845</v>
      </c>
      <c r="P72" s="105">
        <v>1</v>
      </c>
      <c r="Q72" s="116" t="s">
        <v>1195</v>
      </c>
      <c r="R72" s="117">
        <f t="shared" si="13"/>
        <v>1.0038569239710466</v>
      </c>
      <c r="S72" s="117">
        <f t="shared" si="14"/>
        <v>1.5850372483753368</v>
      </c>
      <c r="T72" s="117">
        <f t="shared" si="15"/>
        <v>0.88057624909740939</v>
      </c>
      <c r="U72" s="117">
        <f t="shared" si="16"/>
        <v>39.627039627039629</v>
      </c>
      <c r="Y72" s="86" t="str">
        <f t="shared" si="17"/>
        <v>BA Transportation</v>
      </c>
      <c r="AA72" s="27" t="s">
        <v>1243</v>
      </c>
    </row>
    <row r="73" spans="1:27">
      <c r="A73" s="27" t="str">
        <f t="shared" si="12"/>
        <v>Other Other</v>
      </c>
      <c r="B73" s="27" t="s">
        <v>1198</v>
      </c>
      <c r="C73" s="2">
        <v>91</v>
      </c>
      <c r="D73" s="2">
        <v>49</v>
      </c>
      <c r="E73" t="s">
        <v>867</v>
      </c>
      <c r="F73" t="s">
        <v>867</v>
      </c>
      <c r="G73" s="23">
        <v>64</v>
      </c>
      <c r="H73" s="101">
        <v>1.2041002906677774</v>
      </c>
      <c r="I73" s="102">
        <v>5.2178867915211313</v>
      </c>
      <c r="J73" s="102">
        <v>0.18587360594795541</v>
      </c>
      <c r="K73" s="102">
        <v>42.152353605947951</v>
      </c>
      <c r="L73" s="107" t="s">
        <v>34</v>
      </c>
      <c r="M73" s="103">
        <v>1.2743207321638061</v>
      </c>
      <c r="N73" s="104">
        <v>2</v>
      </c>
      <c r="O73" s="178">
        <v>0.54832713754646845</v>
      </c>
      <c r="P73" s="105">
        <v>1</v>
      </c>
      <c r="Q73" s="116" t="s">
        <v>1197</v>
      </c>
      <c r="R73" s="117">
        <f t="shared" si="13"/>
        <v>1.0038569239710466</v>
      </c>
      <c r="S73" s="117">
        <f t="shared" si="14"/>
        <v>1.5850372483753368</v>
      </c>
      <c r="T73" s="117">
        <f t="shared" si="15"/>
        <v>0.88057624909740939</v>
      </c>
      <c r="U73" s="117">
        <f t="shared" si="16"/>
        <v>39.627039627039629</v>
      </c>
      <c r="Y73" s="86" t="e">
        <f t="shared" si="17"/>
        <v>#N/A</v>
      </c>
    </row>
    <row r="74" spans="1:27">
      <c r="A74" s="201" t="s">
        <v>392</v>
      </c>
      <c r="B74" s="27" t="s">
        <v>34</v>
      </c>
      <c r="C74" s="2" t="s">
        <v>34</v>
      </c>
      <c r="D74" s="2" t="s">
        <v>34</v>
      </c>
      <c r="E74" s="86" t="s">
        <v>34</v>
      </c>
      <c r="F74" t="s">
        <v>34</v>
      </c>
      <c r="G74" s="228" t="s">
        <v>34</v>
      </c>
      <c r="H74" s="101" t="s">
        <v>34</v>
      </c>
      <c r="I74" s="101" t="s">
        <v>34</v>
      </c>
      <c r="J74" s="101" t="s">
        <v>34</v>
      </c>
      <c r="K74" s="101" t="s">
        <v>34</v>
      </c>
      <c r="L74" s="226" t="s">
        <v>34</v>
      </c>
      <c r="M74" s="226" t="s">
        <v>34</v>
      </c>
      <c r="N74" s="227" t="s">
        <v>34</v>
      </c>
      <c r="O74" s="226" t="s">
        <v>34</v>
      </c>
      <c r="P74" s="226" t="s">
        <v>34</v>
      </c>
      <c r="Q74" s="119" t="s">
        <v>34</v>
      </c>
      <c r="R74" s="225" t="s">
        <v>34</v>
      </c>
      <c r="S74" s="225" t="s">
        <v>34</v>
      </c>
      <c r="T74" s="225" t="s">
        <v>34</v>
      </c>
      <c r="U74" s="225" t="s">
        <v>34</v>
      </c>
    </row>
    <row r="75" spans="1:27">
      <c r="A75" s="201" t="s">
        <v>630</v>
      </c>
      <c r="B75" s="27" t="s">
        <v>1119</v>
      </c>
      <c r="C75" s="2" t="s">
        <v>1119</v>
      </c>
      <c r="D75" s="2" t="s">
        <v>1119</v>
      </c>
      <c r="E75" s="86" t="s">
        <v>1119</v>
      </c>
      <c r="F75" t="s">
        <v>1119</v>
      </c>
      <c r="G75" s="228" t="s">
        <v>1119</v>
      </c>
      <c r="H75" s="106" t="s">
        <v>1119</v>
      </c>
      <c r="I75" s="106" t="s">
        <v>1119</v>
      </c>
      <c r="J75" s="106" t="s">
        <v>1119</v>
      </c>
      <c r="K75" s="106" t="s">
        <v>1119</v>
      </c>
      <c r="L75" s="106" t="s">
        <v>1119</v>
      </c>
      <c r="M75" s="106" t="s">
        <v>1119</v>
      </c>
      <c r="N75" s="106" t="s">
        <v>1119</v>
      </c>
      <c r="O75" s="106" t="s">
        <v>1119</v>
      </c>
      <c r="P75" s="106" t="s">
        <v>1119</v>
      </c>
      <c r="Q75" s="119" t="s">
        <v>34</v>
      </c>
      <c r="R75" s="225" t="s">
        <v>34</v>
      </c>
      <c r="S75" s="225" t="s">
        <v>34</v>
      </c>
      <c r="T75" s="225" t="s">
        <v>34</v>
      </c>
      <c r="U75" s="225" t="s">
        <v>34</v>
      </c>
    </row>
    <row r="77" spans="1:27">
      <c r="A77" s="45" t="s">
        <v>1244</v>
      </c>
      <c r="Y77" s="54"/>
      <c r="Z77" s="27"/>
    </row>
    <row r="78" spans="1:27">
      <c r="A78" s="27"/>
      <c r="D78"/>
      <c r="Y78" s="143"/>
      <c r="Z78" s="112"/>
    </row>
    <row r="79" spans="1:27">
      <c r="A79" s="74" t="s">
        <v>1245</v>
      </c>
      <c r="Y79" s="144"/>
      <c r="Z79" s="120"/>
    </row>
    <row r="80" spans="1:27">
      <c r="A80" s="74" t="s">
        <v>1246</v>
      </c>
      <c r="Y80" s="45" t="s">
        <v>1247</v>
      </c>
    </row>
    <row r="81" spans="1:26" ht="13.5" thickBot="1">
      <c r="A81" s="75" t="s">
        <v>1248</v>
      </c>
      <c r="B81" s="74"/>
      <c r="Y81" s="27" t="s">
        <v>1124</v>
      </c>
      <c r="Z81" s="27" t="s">
        <v>1249</v>
      </c>
    </row>
    <row r="82" spans="1:26">
      <c r="A82" s="74" t="s">
        <v>1250</v>
      </c>
      <c r="Y82" s="145" t="s">
        <v>465</v>
      </c>
      <c r="Z82" s="146" t="s">
        <v>220</v>
      </c>
    </row>
    <row r="83" spans="1:26">
      <c r="Y83" s="147" t="s">
        <v>470</v>
      </c>
      <c r="Z83" s="148" t="s">
        <v>222</v>
      </c>
    </row>
    <row r="84" spans="1:26">
      <c r="A84" s="27" t="s">
        <v>1251</v>
      </c>
      <c r="Y84" s="147" t="s">
        <v>476</v>
      </c>
      <c r="Z84" s="149" t="s">
        <v>224</v>
      </c>
    </row>
    <row r="85" spans="1:26">
      <c r="Y85" s="147" t="s">
        <v>481</v>
      </c>
      <c r="Z85" s="148" t="s">
        <v>226</v>
      </c>
    </row>
    <row r="86" spans="1:26">
      <c r="Y86" s="147" t="s">
        <v>487</v>
      </c>
      <c r="Z86" s="148" t="s">
        <v>228</v>
      </c>
    </row>
    <row r="87" spans="1:26">
      <c r="Y87" s="147" t="s">
        <v>490</v>
      </c>
      <c r="Z87" s="148" t="s">
        <v>229</v>
      </c>
    </row>
    <row r="88" spans="1:26">
      <c r="A88" s="27"/>
      <c r="B88" s="86"/>
      <c r="Y88" s="147" t="s">
        <v>491</v>
      </c>
      <c r="Z88" s="148" t="s">
        <v>230</v>
      </c>
    </row>
    <row r="89" spans="1:26">
      <c r="B89" s="86"/>
      <c r="Y89" s="147" t="s">
        <v>496</v>
      </c>
      <c r="Z89" s="148" t="s">
        <v>232</v>
      </c>
    </row>
    <row r="90" spans="1:26">
      <c r="B90" s="86"/>
      <c r="Y90" s="147" t="s">
        <v>500</v>
      </c>
      <c r="Z90" s="148" t="s">
        <v>233</v>
      </c>
    </row>
    <row r="91" spans="1:26">
      <c r="A91" s="27"/>
      <c r="B91" s="86"/>
      <c r="Y91" s="147" t="s">
        <v>496</v>
      </c>
      <c r="Z91" s="148" t="s">
        <v>235</v>
      </c>
    </row>
    <row r="92" spans="1:26">
      <c r="B92" s="86"/>
      <c r="Y92" s="147" t="s">
        <v>507</v>
      </c>
      <c r="Z92" s="149" t="s">
        <v>237</v>
      </c>
    </row>
    <row r="93" spans="1:26">
      <c r="B93" s="86"/>
      <c r="Y93" s="147" t="s">
        <v>511</v>
      </c>
      <c r="Z93" s="148" t="s">
        <v>238</v>
      </c>
    </row>
    <row r="94" spans="1:26">
      <c r="B94" s="86"/>
      <c r="Y94" s="147" t="s">
        <v>515</v>
      </c>
      <c r="Z94" s="148" t="s">
        <v>513</v>
      </c>
    </row>
    <row r="95" spans="1:26">
      <c r="B95" s="86"/>
      <c r="Y95" s="147" t="s">
        <v>516</v>
      </c>
      <c r="Z95" s="148" t="s">
        <v>241</v>
      </c>
    </row>
    <row r="96" spans="1:26">
      <c r="B96" s="86"/>
      <c r="Y96" s="147" t="s">
        <v>520</v>
      </c>
      <c r="Z96" s="148" t="s">
        <v>243</v>
      </c>
    </row>
    <row r="97" spans="2:26">
      <c r="B97" s="86"/>
      <c r="Y97" s="147" t="s">
        <v>515</v>
      </c>
      <c r="Z97" s="148" t="s">
        <v>244</v>
      </c>
    </row>
    <row r="98" spans="2:26">
      <c r="B98" s="86"/>
      <c r="Y98" s="147" t="s">
        <v>525</v>
      </c>
      <c r="Z98" s="148" t="s">
        <v>245</v>
      </c>
    </row>
    <row r="99" spans="2:26">
      <c r="B99" s="86"/>
      <c r="Y99" s="150" t="s">
        <v>529</v>
      </c>
      <c r="Z99" s="149" t="s">
        <v>246</v>
      </c>
    </row>
    <row r="100" spans="2:26">
      <c r="B100" s="86"/>
      <c r="Y100" s="147" t="s">
        <v>525</v>
      </c>
      <c r="Z100" s="148" t="s">
        <v>247</v>
      </c>
    </row>
    <row r="101" spans="2:26">
      <c r="B101" s="86"/>
      <c r="Y101" s="147" t="s">
        <v>534</v>
      </c>
      <c r="Z101" s="148" t="s">
        <v>248</v>
      </c>
    </row>
    <row r="102" spans="2:26">
      <c r="B102" s="86"/>
      <c r="Y102" s="150" t="s">
        <v>1252</v>
      </c>
      <c r="Z102" s="148" t="s">
        <v>249</v>
      </c>
    </row>
    <row r="103" spans="2:26">
      <c r="B103" s="86"/>
      <c r="Y103" s="147" t="s">
        <v>540</v>
      </c>
      <c r="Z103" s="148" t="s">
        <v>251</v>
      </c>
    </row>
    <row r="104" spans="2:26">
      <c r="B104" s="86"/>
      <c r="Y104" s="147" t="s">
        <v>525</v>
      </c>
      <c r="Z104" s="148" t="s">
        <v>252</v>
      </c>
    </row>
    <row r="105" spans="2:26">
      <c r="B105" s="86"/>
      <c r="Y105" s="147" t="s">
        <v>500</v>
      </c>
      <c r="Z105" s="149" t="s">
        <v>253</v>
      </c>
    </row>
    <row r="106" spans="2:26">
      <c r="B106" s="86"/>
      <c r="Y106" s="147" t="s">
        <v>545</v>
      </c>
      <c r="Z106" s="148" t="s">
        <v>254</v>
      </c>
    </row>
    <row r="107" spans="2:26">
      <c r="B107" s="86"/>
      <c r="Y107" s="147" t="s">
        <v>548</v>
      </c>
      <c r="Z107" s="148" t="s">
        <v>255</v>
      </c>
    </row>
    <row r="108" spans="2:26">
      <c r="B108" s="86"/>
      <c r="Y108" s="147" t="s">
        <v>550</v>
      </c>
      <c r="Z108" s="148" t="s">
        <v>256</v>
      </c>
    </row>
    <row r="109" spans="2:26">
      <c r="B109" s="86"/>
      <c r="Y109" s="147" t="s">
        <v>553</v>
      </c>
      <c r="Z109" s="148" t="s">
        <v>257</v>
      </c>
    </row>
    <row r="110" spans="2:26">
      <c r="B110" s="86"/>
      <c r="Y110" s="147" t="s">
        <v>470</v>
      </c>
      <c r="Z110" s="148" t="s">
        <v>259</v>
      </c>
    </row>
    <row r="111" spans="2:26">
      <c r="B111" s="86"/>
      <c r="Y111" s="147" t="s">
        <v>470</v>
      </c>
      <c r="Z111" s="148" t="s">
        <v>260</v>
      </c>
    </row>
    <row r="112" spans="2:26">
      <c r="B112" s="86"/>
      <c r="Y112" s="147" t="s">
        <v>559</v>
      </c>
      <c r="Z112" s="148" t="s">
        <v>261</v>
      </c>
    </row>
    <row r="113" spans="2:26">
      <c r="B113" s="86"/>
      <c r="Y113" s="147" t="s">
        <v>562</v>
      </c>
      <c r="Z113" s="148" t="s">
        <v>262</v>
      </c>
    </row>
    <row r="114" spans="2:26">
      <c r="B114" s="86"/>
      <c r="Y114" s="147" t="s">
        <v>565</v>
      </c>
      <c r="Z114" s="148" t="s">
        <v>264</v>
      </c>
    </row>
    <row r="115" spans="2:26">
      <c r="B115" s="86"/>
      <c r="Y115" s="151" t="s">
        <v>1253</v>
      </c>
      <c r="Z115" s="148" t="s">
        <v>606</v>
      </c>
    </row>
    <row r="116" spans="2:26">
      <c r="B116" s="86"/>
      <c r="Y116" s="151" t="s">
        <v>1253</v>
      </c>
      <c r="Z116" s="148" t="s">
        <v>610</v>
      </c>
    </row>
    <row r="117" spans="2:26">
      <c r="B117" s="86"/>
      <c r="Y117" s="152" t="s">
        <v>470</v>
      </c>
      <c r="Z117" s="153" t="s">
        <v>567</v>
      </c>
    </row>
    <row r="118" spans="2:26">
      <c r="B118" s="86"/>
      <c r="Y118" s="152" t="s">
        <v>470</v>
      </c>
      <c r="Z118" s="153" t="s">
        <v>581</v>
      </c>
    </row>
    <row r="119" spans="2:26">
      <c r="B119" s="86"/>
      <c r="Y119" s="152" t="s">
        <v>470</v>
      </c>
      <c r="Z119" s="153" t="s">
        <v>588</v>
      </c>
    </row>
    <row r="120" spans="2:26">
      <c r="B120" s="86"/>
      <c r="Y120" s="152" t="s">
        <v>465</v>
      </c>
      <c r="Z120" s="153" t="s">
        <v>753</v>
      </c>
    </row>
    <row r="121" spans="2:26">
      <c r="B121" s="86"/>
      <c r="Y121" s="152" t="s">
        <v>614</v>
      </c>
      <c r="Z121" s="153" t="s">
        <v>612</v>
      </c>
    </row>
    <row r="122" spans="2:26">
      <c r="B122" s="86"/>
      <c r="Y122" s="152" t="s">
        <v>619</v>
      </c>
      <c r="Z122" s="153" t="s">
        <v>617</v>
      </c>
    </row>
    <row r="123" spans="2:26">
      <c r="B123" s="86"/>
      <c r="Y123" s="152" t="s">
        <v>595</v>
      </c>
      <c r="Z123" s="153" t="s">
        <v>622</v>
      </c>
    </row>
    <row r="124" spans="2:26">
      <c r="B124" s="86"/>
      <c r="Y124" s="152" t="s">
        <v>470</v>
      </c>
      <c r="Z124" s="153" t="s">
        <v>570</v>
      </c>
    </row>
    <row r="125" spans="2:26">
      <c r="B125" s="86"/>
      <c r="Y125" s="152" t="s">
        <v>470</v>
      </c>
      <c r="Z125" s="153" t="s">
        <v>760</v>
      </c>
    </row>
    <row r="126" spans="2:26">
      <c r="B126" s="86"/>
      <c r="Y126" s="151" t="s">
        <v>1253</v>
      </c>
      <c r="Z126" s="153" t="s">
        <v>631</v>
      </c>
    </row>
    <row r="127" spans="2:26">
      <c r="B127" s="86"/>
      <c r="Y127" s="152" t="s">
        <v>540</v>
      </c>
      <c r="Z127" s="153" t="s">
        <v>625</v>
      </c>
    </row>
    <row r="128" spans="2:26">
      <c r="B128" s="86"/>
      <c r="Y128" s="152" t="s">
        <v>540</v>
      </c>
      <c r="Z128" s="153" t="s">
        <v>644</v>
      </c>
    </row>
    <row r="129" spans="2:26">
      <c r="B129" s="86"/>
      <c r="Y129" s="152" t="s">
        <v>540</v>
      </c>
      <c r="Z129" s="153" t="s">
        <v>675</v>
      </c>
    </row>
    <row r="130" spans="2:26">
      <c r="B130" s="86"/>
      <c r="Y130" s="152" t="s">
        <v>490</v>
      </c>
      <c r="Z130" s="153" t="s">
        <v>660</v>
      </c>
    </row>
    <row r="131" spans="2:26">
      <c r="B131" s="86"/>
      <c r="Y131" s="152" t="s">
        <v>490</v>
      </c>
      <c r="Z131" s="153" t="s">
        <v>652</v>
      </c>
    </row>
    <row r="132" spans="2:26">
      <c r="B132" s="86"/>
      <c r="Y132" s="152" t="s">
        <v>481</v>
      </c>
      <c r="Z132" s="153" t="s">
        <v>656</v>
      </c>
    </row>
    <row r="133" spans="2:26">
      <c r="B133" s="86"/>
      <c r="Y133" s="152" t="s">
        <v>491</v>
      </c>
      <c r="Z133" s="153" t="s">
        <v>763</v>
      </c>
    </row>
    <row r="134" spans="2:26">
      <c r="B134" s="86"/>
      <c r="Y134" s="152" t="s">
        <v>824</v>
      </c>
      <c r="Z134" s="153" t="s">
        <v>823</v>
      </c>
    </row>
    <row r="135" spans="2:26">
      <c r="B135" s="86"/>
      <c r="Y135" s="152" t="s">
        <v>665</v>
      </c>
      <c r="Z135" s="153" t="s">
        <v>662</v>
      </c>
    </row>
    <row r="136" spans="2:26">
      <c r="B136" s="86"/>
      <c r="Y136" s="152" t="s">
        <v>665</v>
      </c>
      <c r="Z136" s="153" t="s">
        <v>662</v>
      </c>
    </row>
    <row r="137" spans="2:26">
      <c r="B137" s="86"/>
      <c r="Y137" s="152" t="s">
        <v>500</v>
      </c>
      <c r="Z137" s="153" t="s">
        <v>1254</v>
      </c>
    </row>
    <row r="138" spans="2:26">
      <c r="B138" s="86"/>
      <c r="Y138" s="152" t="s">
        <v>500</v>
      </c>
      <c r="Z138" s="153" t="s">
        <v>765</v>
      </c>
    </row>
    <row r="139" spans="2:26">
      <c r="B139" s="86"/>
      <c r="Y139" s="152" t="s">
        <v>481</v>
      </c>
      <c r="Z139" s="153" t="s">
        <v>667</v>
      </c>
    </row>
    <row r="140" spans="2:26">
      <c r="B140" s="86"/>
      <c r="Y140" s="152" t="s">
        <v>496</v>
      </c>
      <c r="Z140" s="153" t="s">
        <v>767</v>
      </c>
    </row>
    <row r="141" spans="2:26">
      <c r="B141" s="86"/>
      <c r="Y141" s="152" t="s">
        <v>496</v>
      </c>
      <c r="Z141" s="153" t="s">
        <v>575</v>
      </c>
    </row>
    <row r="142" spans="2:26">
      <c r="B142" s="86"/>
      <c r="Y142" s="152" t="s">
        <v>496</v>
      </c>
      <c r="Z142" s="153" t="s">
        <v>770</v>
      </c>
    </row>
    <row r="143" spans="2:26">
      <c r="B143" s="86"/>
      <c r="Y143" s="152" t="s">
        <v>632</v>
      </c>
      <c r="Z143" s="153" t="s">
        <v>672</v>
      </c>
    </row>
    <row r="144" spans="2:26">
      <c r="B144" s="86"/>
      <c r="Y144" s="152" t="s">
        <v>638</v>
      </c>
      <c r="Z144" s="153" t="s">
        <v>635</v>
      </c>
    </row>
    <row r="145" spans="2:26">
      <c r="B145" s="86"/>
      <c r="Y145" s="152" t="s">
        <v>638</v>
      </c>
      <c r="Z145" s="153" t="s">
        <v>773</v>
      </c>
    </row>
    <row r="146" spans="2:26">
      <c r="B146" s="86"/>
      <c r="Y146" s="152" t="s">
        <v>638</v>
      </c>
      <c r="Z146" s="153" t="s">
        <v>776</v>
      </c>
    </row>
    <row r="147" spans="2:26">
      <c r="B147" s="86"/>
      <c r="Y147" s="152" t="s">
        <v>638</v>
      </c>
      <c r="Z147" s="153" t="s">
        <v>686</v>
      </c>
    </row>
    <row r="148" spans="2:26">
      <c r="B148" s="86"/>
      <c r="Y148" s="152" t="s">
        <v>638</v>
      </c>
      <c r="Z148" s="153" t="s">
        <v>715</v>
      </c>
    </row>
    <row r="149" spans="2:26">
      <c r="B149" s="86"/>
      <c r="Y149" s="152" t="s">
        <v>638</v>
      </c>
      <c r="Z149" s="153" t="s">
        <v>743</v>
      </c>
    </row>
    <row r="150" spans="2:26">
      <c r="B150" s="86"/>
      <c r="Y150" s="152" t="s">
        <v>638</v>
      </c>
      <c r="Z150" s="153" t="s">
        <v>779</v>
      </c>
    </row>
    <row r="151" spans="2:26">
      <c r="B151" s="86"/>
      <c r="Y151" s="152" t="s">
        <v>638</v>
      </c>
      <c r="Z151" s="153" t="s">
        <v>782</v>
      </c>
    </row>
    <row r="152" spans="2:26">
      <c r="B152" s="86"/>
      <c r="Y152" s="152" t="s">
        <v>638</v>
      </c>
      <c r="Z152" s="153" t="s">
        <v>784</v>
      </c>
    </row>
    <row r="153" spans="2:26">
      <c r="B153" s="86"/>
      <c r="Y153" s="152" t="s">
        <v>638</v>
      </c>
      <c r="Z153" s="153" t="s">
        <v>786</v>
      </c>
    </row>
    <row r="154" spans="2:26">
      <c r="B154" s="86"/>
      <c r="Y154" s="152" t="s">
        <v>638</v>
      </c>
      <c r="Z154" s="153" t="s">
        <v>731</v>
      </c>
    </row>
    <row r="155" spans="2:26">
      <c r="B155" s="86"/>
      <c r="Y155" s="152" t="s">
        <v>638</v>
      </c>
      <c r="Z155" s="153" t="s">
        <v>788</v>
      </c>
    </row>
    <row r="156" spans="2:26">
      <c r="B156" s="86"/>
      <c r="Y156" s="152" t="s">
        <v>638</v>
      </c>
      <c r="Z156" s="153" t="s">
        <v>1255</v>
      </c>
    </row>
    <row r="157" spans="2:26">
      <c r="B157" s="86"/>
      <c r="Y157" s="152" t="s">
        <v>638</v>
      </c>
      <c r="Z157" s="153" t="s">
        <v>791</v>
      </c>
    </row>
    <row r="158" spans="2:26">
      <c r="B158" s="86"/>
      <c r="Y158" s="152" t="s">
        <v>490</v>
      </c>
      <c r="Z158" s="153" t="s">
        <v>1256</v>
      </c>
    </row>
    <row r="159" spans="2:26">
      <c r="B159" s="86"/>
      <c r="Y159" s="152" t="s">
        <v>515</v>
      </c>
      <c r="Z159" s="153" t="s">
        <v>672</v>
      </c>
    </row>
    <row r="160" spans="2:26">
      <c r="B160" s="86"/>
      <c r="Y160" s="152" t="s">
        <v>837</v>
      </c>
      <c r="Z160" s="153" t="s">
        <v>700</v>
      </c>
    </row>
    <row r="161" spans="2:26">
      <c r="B161" s="86"/>
      <c r="Y161" s="152" t="s">
        <v>490</v>
      </c>
      <c r="Z161" s="153" t="s">
        <v>1257</v>
      </c>
    </row>
    <row r="162" spans="2:26">
      <c r="B162" s="86"/>
      <c r="Y162" s="152" t="s">
        <v>1258</v>
      </c>
      <c r="Z162" s="153" t="s">
        <v>1259</v>
      </c>
    </row>
    <row r="163" spans="2:26">
      <c r="B163" s="86"/>
      <c r="Y163" s="152" t="s">
        <v>680</v>
      </c>
      <c r="Z163" s="153" t="s">
        <v>679</v>
      </c>
    </row>
    <row r="164" spans="2:26">
      <c r="B164" s="86"/>
      <c r="Y164" s="152" t="s">
        <v>680</v>
      </c>
      <c r="Z164" s="153" t="s">
        <v>681</v>
      </c>
    </row>
    <row r="165" spans="2:26">
      <c r="B165" s="86"/>
      <c r="Y165" s="152" t="s">
        <v>559</v>
      </c>
      <c r="Z165" s="153" t="s">
        <v>686</v>
      </c>
    </row>
    <row r="166" spans="2:26">
      <c r="B166" s="86"/>
      <c r="Y166" s="152" t="s">
        <v>516</v>
      </c>
      <c r="Z166" s="153" t="s">
        <v>1260</v>
      </c>
    </row>
    <row r="167" spans="2:26">
      <c r="B167" s="86"/>
      <c r="Y167" s="152" t="s">
        <v>516</v>
      </c>
      <c r="Z167" s="153" t="s">
        <v>794</v>
      </c>
    </row>
    <row r="168" spans="2:26">
      <c r="B168" s="86"/>
      <c r="Y168" s="152" t="s">
        <v>516</v>
      </c>
      <c r="Z168" s="153" t="s">
        <v>798</v>
      </c>
    </row>
    <row r="169" spans="2:26">
      <c r="B169" s="86"/>
      <c r="Y169" s="152" t="s">
        <v>837</v>
      </c>
      <c r="Z169" s="153" t="s">
        <v>693</v>
      </c>
    </row>
    <row r="170" spans="2:26">
      <c r="B170" s="86"/>
      <c r="Y170" s="152" t="s">
        <v>837</v>
      </c>
      <c r="Z170" s="153" t="s">
        <v>697</v>
      </c>
    </row>
    <row r="171" spans="2:26">
      <c r="B171" s="86"/>
      <c r="Y171" s="152" t="s">
        <v>525</v>
      </c>
      <c r="Z171" s="153" t="s">
        <v>703</v>
      </c>
    </row>
    <row r="172" spans="2:26">
      <c r="B172" s="86"/>
      <c r="Y172" s="152" t="s">
        <v>525</v>
      </c>
      <c r="Z172" s="153" t="s">
        <v>707</v>
      </c>
    </row>
    <row r="173" spans="2:26">
      <c r="B173" s="86"/>
      <c r="Y173" s="152" t="s">
        <v>1253</v>
      </c>
      <c r="Z173" s="153" t="s">
        <v>711</v>
      </c>
    </row>
    <row r="174" spans="2:26">
      <c r="B174" s="86"/>
      <c r="Y174" s="152" t="s">
        <v>496</v>
      </c>
      <c r="Z174" s="153" t="s">
        <v>720</v>
      </c>
    </row>
    <row r="175" spans="2:26">
      <c r="B175" s="86"/>
      <c r="Y175" s="152" t="s">
        <v>534</v>
      </c>
      <c r="Z175" s="153" t="s">
        <v>662</v>
      </c>
    </row>
    <row r="176" spans="2:26">
      <c r="B176" s="86"/>
      <c r="Y176" s="152" t="s">
        <v>520</v>
      </c>
      <c r="Z176" s="153" t="s">
        <v>639</v>
      </c>
    </row>
    <row r="177" spans="2:26">
      <c r="B177" s="86"/>
      <c r="Y177" s="152" t="s">
        <v>520</v>
      </c>
      <c r="Z177" s="153" t="s">
        <v>801</v>
      </c>
    </row>
    <row r="178" spans="2:26">
      <c r="B178" s="86"/>
      <c r="Y178" s="152" t="s">
        <v>520</v>
      </c>
      <c r="Z178" s="153" t="s">
        <v>647</v>
      </c>
    </row>
    <row r="179" spans="2:26">
      <c r="B179" s="86"/>
      <c r="Y179" s="152" t="s">
        <v>520</v>
      </c>
      <c r="Z179" s="153" t="s">
        <v>805</v>
      </c>
    </row>
    <row r="180" spans="2:26">
      <c r="B180" s="86"/>
      <c r="Y180" s="152" t="s">
        <v>520</v>
      </c>
      <c r="Z180" s="153" t="s">
        <v>807</v>
      </c>
    </row>
    <row r="181" spans="2:26">
      <c r="B181" s="86"/>
      <c r="Y181" s="152" t="s">
        <v>520</v>
      </c>
      <c r="Z181" s="153" t="s">
        <v>808</v>
      </c>
    </row>
    <row r="182" spans="2:26">
      <c r="B182" s="86"/>
      <c r="Y182" s="152" t="s">
        <v>525</v>
      </c>
      <c r="Z182" s="153" t="s">
        <v>810</v>
      </c>
    </row>
    <row r="183" spans="2:26">
      <c r="B183" s="86"/>
      <c r="Y183" s="152" t="s">
        <v>565</v>
      </c>
      <c r="Z183" s="153" t="s">
        <v>813</v>
      </c>
    </row>
    <row r="184" spans="2:26">
      <c r="B184" s="86"/>
      <c r="Y184" s="152" t="s">
        <v>749</v>
      </c>
      <c r="Z184" s="153" t="s">
        <v>747</v>
      </c>
    </row>
    <row r="185" spans="2:26">
      <c r="B185" s="86"/>
      <c r="Y185" s="152" t="s">
        <v>749</v>
      </c>
      <c r="Z185" s="153" t="s">
        <v>747</v>
      </c>
    </row>
    <row r="186" spans="2:26">
      <c r="B186" s="86"/>
      <c r="Y186" s="152" t="s">
        <v>534</v>
      </c>
      <c r="Z186" s="153" t="s">
        <v>724</v>
      </c>
    </row>
    <row r="187" spans="2:26">
      <c r="B187" s="86"/>
      <c r="Y187" s="152" t="s">
        <v>534</v>
      </c>
      <c r="Z187" s="153" t="s">
        <v>726</v>
      </c>
    </row>
    <row r="188" spans="2:26">
      <c r="B188" s="86"/>
      <c r="Y188" s="152" t="s">
        <v>1252</v>
      </c>
      <c r="Z188" s="153" t="s">
        <v>728</v>
      </c>
    </row>
    <row r="189" spans="2:26">
      <c r="B189" s="86"/>
      <c r="Y189" s="152" t="s">
        <v>837</v>
      </c>
      <c r="Z189" s="153" t="s">
        <v>1261</v>
      </c>
    </row>
    <row r="190" spans="2:26">
      <c r="B190" s="86"/>
      <c r="Y190" s="152" t="s">
        <v>619</v>
      </c>
      <c r="Z190" s="153" t="s">
        <v>1262</v>
      </c>
    </row>
    <row r="191" spans="2:26">
      <c r="B191" s="86"/>
      <c r="Y191" s="152" t="s">
        <v>490</v>
      </c>
      <c r="Z191" s="153" t="s">
        <v>1263</v>
      </c>
    </row>
    <row r="192" spans="2:26">
      <c r="B192" s="86"/>
      <c r="Y192" s="152" t="s">
        <v>545</v>
      </c>
      <c r="Z192" s="153" t="s">
        <v>815</v>
      </c>
    </row>
    <row r="193" spans="2:26">
      <c r="B193" s="86"/>
      <c r="Y193" s="152" t="s">
        <v>548</v>
      </c>
      <c r="Z193" s="153" t="s">
        <v>592</v>
      </c>
    </row>
    <row r="194" spans="2:26">
      <c r="B194" s="86"/>
      <c r="Y194" s="152" t="s">
        <v>548</v>
      </c>
      <c r="Z194" s="153" t="s">
        <v>818</v>
      </c>
    </row>
    <row r="195" spans="2:26">
      <c r="B195" s="86"/>
      <c r="Y195" s="152" t="s">
        <v>548</v>
      </c>
      <c r="Z195" s="153" t="s">
        <v>820</v>
      </c>
    </row>
    <row r="196" spans="2:26">
      <c r="B196" s="86"/>
      <c r="Y196" s="152" t="s">
        <v>1253</v>
      </c>
      <c r="Z196" s="153" t="s">
        <v>735</v>
      </c>
    </row>
    <row r="197" spans="2:26">
      <c r="B197" s="86"/>
      <c r="Y197" s="152" t="s">
        <v>1253</v>
      </c>
      <c r="Z197" s="153" t="s">
        <v>1264</v>
      </c>
    </row>
    <row r="198" spans="2:26">
      <c r="B198" s="86"/>
      <c r="Y198" s="152" t="s">
        <v>824</v>
      </c>
      <c r="Z198" s="153" t="s">
        <v>825</v>
      </c>
    </row>
    <row r="199" spans="2:26">
      <c r="B199" s="86"/>
      <c r="Y199" s="152" t="s">
        <v>733</v>
      </c>
      <c r="Z199" s="153" t="s">
        <v>738</v>
      </c>
    </row>
    <row r="200" spans="2:26">
      <c r="B200" s="86"/>
      <c r="Y200" s="152" t="s">
        <v>837</v>
      </c>
      <c r="Z200" s="153" t="s">
        <v>598</v>
      </c>
    </row>
    <row r="201" spans="2:26">
      <c r="B201" s="86"/>
      <c r="Y201" s="152" t="s">
        <v>496</v>
      </c>
      <c r="Z201" s="153" t="s">
        <v>829</v>
      </c>
    </row>
    <row r="202" spans="2:26">
      <c r="B202" s="86"/>
      <c r="Y202" s="152" t="s">
        <v>496</v>
      </c>
      <c r="Z202" s="153" t="s">
        <v>831</v>
      </c>
    </row>
    <row r="203" spans="2:26">
      <c r="B203" s="86"/>
      <c r="Y203" s="152" t="s">
        <v>496</v>
      </c>
      <c r="Z203" s="153" t="s">
        <v>833</v>
      </c>
    </row>
    <row r="204" spans="2:26">
      <c r="B204" s="86"/>
      <c r="Y204" s="152" t="s">
        <v>496</v>
      </c>
      <c r="Z204" s="153" t="s">
        <v>834</v>
      </c>
    </row>
    <row r="205" spans="2:26">
      <c r="B205" s="86"/>
      <c r="Y205" s="152" t="s">
        <v>496</v>
      </c>
      <c r="Z205" s="153" t="s">
        <v>1265</v>
      </c>
    </row>
    <row r="206" spans="2:26">
      <c r="B206" s="86"/>
      <c r="Y206" s="152" t="s">
        <v>496</v>
      </c>
      <c r="Z206" s="153" t="s">
        <v>1266</v>
      </c>
    </row>
    <row r="207" spans="2:26">
      <c r="B207" s="86"/>
      <c r="Y207" s="152" t="s">
        <v>1253</v>
      </c>
      <c r="Z207" s="148" t="s">
        <v>740</v>
      </c>
    </row>
    <row r="208" spans="2:26">
      <c r="B208" s="86"/>
      <c r="Y208" s="152" t="s">
        <v>749</v>
      </c>
      <c r="Z208" s="153" t="s">
        <v>747</v>
      </c>
    </row>
    <row r="209" spans="2:33">
      <c r="B209" s="86"/>
      <c r="Y209" s="152" t="s">
        <v>749</v>
      </c>
      <c r="Z209" s="153" t="s">
        <v>747</v>
      </c>
    </row>
    <row r="210" spans="2:33">
      <c r="B210" s="86"/>
      <c r="Y210" s="152" t="s">
        <v>837</v>
      </c>
      <c r="Z210" s="153" t="s">
        <v>835</v>
      </c>
    </row>
    <row r="211" spans="2:33">
      <c r="B211" s="86"/>
      <c r="Y211" s="152" t="s">
        <v>837</v>
      </c>
      <c r="Z211" s="153" t="s">
        <v>839</v>
      </c>
    </row>
    <row r="212" spans="2:33">
      <c r="B212" s="86"/>
      <c r="Y212" s="152" t="s">
        <v>837</v>
      </c>
      <c r="Z212" s="153" t="s">
        <v>601</v>
      </c>
    </row>
    <row r="213" spans="2:33">
      <c r="B213" s="86"/>
      <c r="Y213" s="152" t="s">
        <v>837</v>
      </c>
      <c r="Z213" s="153" t="s">
        <v>841</v>
      </c>
    </row>
    <row r="214" spans="2:33">
      <c r="B214" s="86"/>
      <c r="Y214" s="152" t="s">
        <v>749</v>
      </c>
      <c r="Z214" s="153" t="s">
        <v>844</v>
      </c>
    </row>
    <row r="215" spans="2:33">
      <c r="B215" s="86"/>
      <c r="Y215" s="152" t="s">
        <v>749</v>
      </c>
      <c r="Z215" s="153" t="s">
        <v>690</v>
      </c>
    </row>
    <row r="216" spans="2:33">
      <c r="B216" s="86"/>
      <c r="Y216" s="152" t="s">
        <v>1267</v>
      </c>
      <c r="Z216" s="153" t="s">
        <v>690</v>
      </c>
    </row>
    <row r="217" spans="2:33" ht="13.5" thickBot="1">
      <c r="B217" s="86"/>
      <c r="Y217" s="154" t="s">
        <v>565</v>
      </c>
      <c r="Z217" s="155" t="s">
        <v>628</v>
      </c>
    </row>
    <row r="218" spans="2:33">
      <c r="B218" s="86"/>
      <c r="Y218"/>
    </row>
    <row r="219" spans="2:33">
      <c r="B219" s="86"/>
      <c r="Y219"/>
    </row>
    <row r="220" spans="2:33">
      <c r="B220" s="86"/>
      <c r="Y220"/>
    </row>
    <row r="221" spans="2:33">
      <c r="B221" s="86"/>
      <c r="Y221"/>
    </row>
    <row r="222" spans="2:33">
      <c r="B222" s="86"/>
    </row>
    <row r="223" spans="2:33">
      <c r="B223" s="86"/>
      <c r="AF223" s="45" t="s">
        <v>847</v>
      </c>
      <c r="AG223" s="45"/>
    </row>
    <row r="224" spans="2:33">
      <c r="B224" s="86"/>
      <c r="AF224" s="34" t="s">
        <v>849</v>
      </c>
      <c r="AG224" s="34"/>
    </row>
  </sheetData>
  <sortState xmlns:xlrd2="http://schemas.microsoft.com/office/spreadsheetml/2017/richdata2" ref="A3:AA73">
    <sortCondition ref="B3:B73"/>
    <sortCondition ref="C3:C73"/>
    <sortCondition ref="D3:D73"/>
  </sortState>
  <mergeCells count="2">
    <mergeCell ref="H1:P1"/>
    <mergeCell ref="Q1:U1"/>
  </mergeCells>
  <conditionalFormatting sqref="A4">
    <cfRule type="expression" dxfId="0" priority="1">
      <formula>$Y$4="#NA"</formula>
    </cfRule>
  </conditionalFormatting>
  <dataValidations disablePrompts="1" count="1">
    <dataValidation type="list" allowBlank="1" showInputMessage="1" showErrorMessage="1" sqref="V3:V22" xr:uid="{00000000-0002-0000-0A00-000000000000}">
      <formula1>$F$23:$F$73</formula1>
    </dataValidation>
  </dataValidations>
  <pageMargins left="0.7" right="0.7" top="0.75" bottom="0.75" header="0.3" footer="0.3"/>
  <pageSetup orientation="portrait" horizontalDpi="1200" verticalDpi="1200"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A00-000001000000}">
          <x14:formula1>
            <xm:f>'NREL41956 (not used)'!$B$3:$B$27</xm:f>
          </x14:formula1>
          <xm:sqref>Q3:Q73</xm:sqref>
        </x14:dataValidation>
        <x14:dataValidation type="list" allowBlank="1" showInputMessage="1" showErrorMessage="1" xr:uid="{00000000-0002-0000-0A00-000002000000}">
          <x14:formula1>
            <xm:f>'90.1-2010'!$B$2:$B$130</xm:f>
          </x14:formula1>
          <xm:sqref>Z3:Z73</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Y21"/>
  <sheetViews>
    <sheetView workbookViewId="0">
      <pane xSplit="1" ySplit="2" topLeftCell="B3" activePane="bottomRight" state="frozen"/>
      <selection pane="bottomRight" activeCell="C27" sqref="C27"/>
      <selection pane="bottomLeft" activeCell="A3" sqref="A3"/>
      <selection pane="topRight" activeCell="B1" sqref="B1"/>
    </sheetView>
  </sheetViews>
  <sheetFormatPr defaultRowHeight="12.75"/>
  <cols>
    <col min="1" max="1" width="23.7109375" customWidth="1"/>
    <col min="3" max="3" width="11.140625" style="48" customWidth="1"/>
    <col min="4" max="4" width="10.140625" style="47" customWidth="1"/>
    <col min="5" max="13" width="9.140625" style="119"/>
    <col min="14" max="14" width="10.28515625" style="119" customWidth="1"/>
    <col min="15" max="15" width="9.140625" style="119"/>
    <col min="16" max="16" width="12.140625" style="119" customWidth="1"/>
    <col min="17" max="18" width="9.140625" style="119"/>
    <col min="19" max="25" width="9.140625" style="95"/>
  </cols>
  <sheetData>
    <row r="1" spans="1:25" s="45" customFormat="1">
      <c r="C1" s="49"/>
      <c r="D1" s="51"/>
      <c r="E1" s="282" t="s">
        <v>1268</v>
      </c>
      <c r="F1" s="282"/>
      <c r="G1" s="282"/>
      <c r="H1" s="282"/>
      <c r="I1" s="282"/>
      <c r="J1" s="282"/>
      <c r="K1" s="282"/>
      <c r="L1" s="282"/>
      <c r="M1" s="282"/>
      <c r="N1" s="282"/>
      <c r="O1" s="282"/>
      <c r="P1" s="282"/>
      <c r="Q1" s="282"/>
      <c r="R1" s="282"/>
      <c r="S1" s="283" t="s">
        <v>1269</v>
      </c>
      <c r="T1" s="283"/>
      <c r="U1" s="283"/>
      <c r="V1" s="283"/>
      <c r="W1" s="283"/>
      <c r="X1" s="283"/>
      <c r="Y1" s="283"/>
    </row>
    <row r="2" spans="1:25" s="1" customFormat="1" ht="38.25">
      <c r="A2" s="1" t="s">
        <v>1270</v>
      </c>
      <c r="B2" s="44" t="s">
        <v>1271</v>
      </c>
      <c r="C2" s="50" t="s">
        <v>1272</v>
      </c>
      <c r="D2" s="46" t="s">
        <v>1273</v>
      </c>
      <c r="E2" s="128" t="s">
        <v>1274</v>
      </c>
      <c r="F2" s="128" t="s">
        <v>1275</v>
      </c>
      <c r="G2" s="128" t="s">
        <v>1276</v>
      </c>
      <c r="H2" s="128" t="s">
        <v>1277</v>
      </c>
      <c r="I2" s="128" t="s">
        <v>1278</v>
      </c>
      <c r="J2" s="128" t="s">
        <v>1279</v>
      </c>
      <c r="K2" s="128" t="s">
        <v>1280</v>
      </c>
      <c r="L2" s="128" t="s">
        <v>1281</v>
      </c>
      <c r="M2" s="128" t="s">
        <v>1282</v>
      </c>
      <c r="N2" s="128" t="s">
        <v>1283</v>
      </c>
      <c r="O2" s="128" t="s">
        <v>1284</v>
      </c>
      <c r="P2" s="128" t="s">
        <v>1285</v>
      </c>
      <c r="Q2" s="128" t="s">
        <v>1286</v>
      </c>
      <c r="R2" s="128" t="s">
        <v>1287</v>
      </c>
      <c r="S2" s="129" t="s">
        <v>1274</v>
      </c>
      <c r="T2" s="129" t="s">
        <v>1275</v>
      </c>
      <c r="U2" s="129" t="s">
        <v>1276</v>
      </c>
      <c r="V2" s="129" t="s">
        <v>1279</v>
      </c>
      <c r="W2" s="129" t="s">
        <v>1280</v>
      </c>
      <c r="X2" s="129" t="s">
        <v>1284</v>
      </c>
      <c r="Y2" s="129" t="s">
        <v>1287</v>
      </c>
    </row>
    <row r="3" spans="1:25">
      <c r="A3" s="27" t="s">
        <v>1288</v>
      </c>
      <c r="B3" s="48">
        <f t="shared" ref="B3:B17" si="0">SUM(W3:Y3)*1000/8760</f>
        <v>0.90182648401826482</v>
      </c>
      <c r="C3" s="48">
        <f t="shared" ref="C3:C17" si="1">I3*1000/8760</f>
        <v>0.2089041095890411</v>
      </c>
      <c r="D3" s="52">
        <v>4920114</v>
      </c>
      <c r="E3" s="130">
        <v>13.63</v>
      </c>
      <c r="F3" s="130">
        <v>0.22</v>
      </c>
      <c r="G3" s="130">
        <v>2.04</v>
      </c>
      <c r="H3" s="130">
        <v>1.63</v>
      </c>
      <c r="I3" s="130">
        <v>1.83</v>
      </c>
      <c r="J3" s="130">
        <v>0.12</v>
      </c>
      <c r="K3" s="130">
        <v>0.56999999999999995</v>
      </c>
      <c r="L3" s="130">
        <v>3.92</v>
      </c>
      <c r="M3" s="130">
        <v>0.8</v>
      </c>
      <c r="N3" s="130">
        <v>0.97</v>
      </c>
      <c r="O3" s="130">
        <v>0.8</v>
      </c>
      <c r="P3" s="130">
        <v>0.04</v>
      </c>
      <c r="Q3" s="130">
        <v>0.56999999999999995</v>
      </c>
      <c r="R3" s="130">
        <v>0.13</v>
      </c>
      <c r="S3" s="94">
        <v>25.99</v>
      </c>
      <c r="T3" s="94">
        <v>9.5</v>
      </c>
      <c r="U3" s="94">
        <v>0.4</v>
      </c>
      <c r="V3" s="94">
        <v>8.3000000000000007</v>
      </c>
      <c r="W3" s="94">
        <v>5.9</v>
      </c>
      <c r="X3" s="94">
        <v>0.5</v>
      </c>
      <c r="Y3" s="94">
        <v>1.5</v>
      </c>
    </row>
    <row r="4" spans="1:25">
      <c r="A4" s="27" t="s">
        <v>517</v>
      </c>
      <c r="B4" s="48">
        <f t="shared" si="0"/>
        <v>2.2831050228310501E-2</v>
      </c>
      <c r="C4" s="48">
        <f t="shared" si="1"/>
        <v>6.6210045662100453E-2</v>
      </c>
      <c r="D4" s="52">
        <v>361584</v>
      </c>
      <c r="E4" s="130">
        <v>13.1</v>
      </c>
      <c r="F4" s="130">
        <v>0.2</v>
      </c>
      <c r="G4" s="130">
        <v>2.61</v>
      </c>
      <c r="H4" s="130">
        <v>1.29</v>
      </c>
      <c r="I4" s="130">
        <v>0.57999999999999996</v>
      </c>
      <c r="J4" s="130">
        <v>0.25</v>
      </c>
      <c r="K4" s="130">
        <v>0.1</v>
      </c>
      <c r="L4" s="130">
        <v>3.83</v>
      </c>
      <c r="M4" s="130">
        <v>0.95</v>
      </c>
      <c r="N4" s="130">
        <v>2.19</v>
      </c>
      <c r="O4" s="130">
        <v>0.78</v>
      </c>
      <c r="P4" s="130">
        <v>0</v>
      </c>
      <c r="Q4" s="130">
        <v>0.22</v>
      </c>
      <c r="R4" s="130">
        <v>0.1</v>
      </c>
      <c r="S4" s="94">
        <v>10.54</v>
      </c>
      <c r="T4" s="94">
        <v>8.6</v>
      </c>
      <c r="U4" s="94">
        <v>0</v>
      </c>
      <c r="V4" s="94">
        <v>1.7</v>
      </c>
      <c r="W4" s="94">
        <v>0.1</v>
      </c>
      <c r="X4" s="94">
        <v>0</v>
      </c>
      <c r="Y4" s="94">
        <v>0.1</v>
      </c>
    </row>
    <row r="5" spans="1:25">
      <c r="A5" s="27" t="s">
        <v>477</v>
      </c>
      <c r="B5" s="48">
        <f t="shared" si="0"/>
        <v>0.17123287671232876</v>
      </c>
      <c r="C5" s="48">
        <f t="shared" si="1"/>
        <v>4.6803652968036527E-2</v>
      </c>
      <c r="D5" s="52">
        <v>660429</v>
      </c>
      <c r="E5" s="130">
        <v>17.7</v>
      </c>
      <c r="F5" s="130">
        <v>0.49</v>
      </c>
      <c r="G5" s="130">
        <v>3.57</v>
      </c>
      <c r="H5" s="130">
        <v>3.06</v>
      </c>
      <c r="I5" s="130">
        <v>0.41</v>
      </c>
      <c r="J5" s="130">
        <v>0.12</v>
      </c>
      <c r="K5" s="130">
        <v>0.12</v>
      </c>
      <c r="L5" s="130">
        <v>4.46</v>
      </c>
      <c r="M5" s="130">
        <v>0.49</v>
      </c>
      <c r="N5" s="130">
        <v>3.58</v>
      </c>
      <c r="O5" s="130">
        <v>0.57999999999999996</v>
      </c>
      <c r="P5" s="130">
        <v>0.03</v>
      </c>
      <c r="Q5" s="130">
        <v>0.72</v>
      </c>
      <c r="R5" s="130">
        <v>0.09</v>
      </c>
      <c r="S5" s="94">
        <v>21.93</v>
      </c>
      <c r="T5" s="94">
        <v>17.2</v>
      </c>
      <c r="U5" s="94">
        <v>0.5</v>
      </c>
      <c r="V5" s="94">
        <v>2.6</v>
      </c>
      <c r="W5" s="94">
        <v>0.2</v>
      </c>
      <c r="X5" s="94">
        <v>0.1</v>
      </c>
      <c r="Y5" s="94">
        <v>1.2</v>
      </c>
    </row>
    <row r="6" spans="1:25">
      <c r="A6" t="s">
        <v>482</v>
      </c>
      <c r="B6" s="48">
        <f t="shared" si="0"/>
        <v>17.534246575342468</v>
      </c>
      <c r="C6" s="48">
        <f t="shared" si="1"/>
        <v>1.1267123287671232</v>
      </c>
      <c r="D6" s="52">
        <v>148892</v>
      </c>
      <c r="E6" s="130">
        <v>40.200000000000003</v>
      </c>
      <c r="F6" s="130">
        <v>0.05</v>
      </c>
      <c r="G6" s="130">
        <v>5.76</v>
      </c>
      <c r="H6" s="130">
        <v>3.24</v>
      </c>
      <c r="I6" s="130">
        <v>9.8699999999999992</v>
      </c>
      <c r="J6" s="130">
        <v>0.38</v>
      </c>
      <c r="K6" s="130">
        <v>10.38</v>
      </c>
      <c r="L6" s="130">
        <v>6.45</v>
      </c>
      <c r="M6" s="130">
        <v>2.02</v>
      </c>
      <c r="N6" s="130">
        <v>0.63</v>
      </c>
      <c r="O6" s="130">
        <v>1.1299999999999999</v>
      </c>
      <c r="P6" s="130">
        <v>0.01</v>
      </c>
      <c r="Q6" s="130">
        <v>0.27</v>
      </c>
      <c r="R6" s="130">
        <v>0.02</v>
      </c>
      <c r="S6" s="94">
        <v>209.98</v>
      </c>
      <c r="T6" s="94">
        <v>7.7</v>
      </c>
      <c r="U6" s="94">
        <v>0</v>
      </c>
      <c r="V6" s="94">
        <v>48.6</v>
      </c>
      <c r="W6" s="94">
        <v>153.30000000000001</v>
      </c>
      <c r="X6" s="94">
        <v>0</v>
      </c>
      <c r="Y6" s="94">
        <v>0.3</v>
      </c>
    </row>
    <row r="7" spans="1:25">
      <c r="A7" t="s">
        <v>68</v>
      </c>
      <c r="B7" s="48">
        <f t="shared" si="0"/>
        <v>9.1324200913242004E-2</v>
      </c>
      <c r="C7" s="48">
        <f t="shared" si="1"/>
        <v>0.11757990867579908</v>
      </c>
      <c r="D7" s="52">
        <v>702053</v>
      </c>
      <c r="E7" s="130">
        <v>14.06</v>
      </c>
      <c r="F7" s="130">
        <v>0.08</v>
      </c>
      <c r="G7" s="130">
        <v>2.21</v>
      </c>
      <c r="H7" s="130">
        <v>1.81</v>
      </c>
      <c r="I7" s="130">
        <v>1.03</v>
      </c>
      <c r="J7" s="130">
        <v>0.14000000000000001</v>
      </c>
      <c r="K7" s="130">
        <v>0.22</v>
      </c>
      <c r="L7" s="130">
        <v>6.05</v>
      </c>
      <c r="M7" s="130">
        <v>0.92</v>
      </c>
      <c r="N7" s="130">
        <v>0.49</v>
      </c>
      <c r="O7" s="130">
        <v>0.69</v>
      </c>
      <c r="P7" s="130">
        <v>0.05</v>
      </c>
      <c r="Q7" s="130">
        <v>0.28999999999999998</v>
      </c>
      <c r="R7" s="130">
        <v>0.09</v>
      </c>
      <c r="S7" s="94">
        <v>4.62</v>
      </c>
      <c r="T7" s="94">
        <v>3</v>
      </c>
      <c r="U7" s="94">
        <v>0</v>
      </c>
      <c r="V7" s="94">
        <v>0.8</v>
      </c>
      <c r="W7" s="94">
        <v>0.5</v>
      </c>
      <c r="X7" s="94">
        <v>0.3</v>
      </c>
      <c r="Y7" s="94">
        <v>0</v>
      </c>
    </row>
    <row r="8" spans="1:25">
      <c r="A8" s="27" t="s">
        <v>1289</v>
      </c>
      <c r="B8" s="48">
        <f t="shared" si="0"/>
        <v>1.1872146118721461</v>
      </c>
      <c r="C8" s="48">
        <f t="shared" si="1"/>
        <v>2.5593607305936072</v>
      </c>
      <c r="D8" s="52">
        <v>144209</v>
      </c>
      <c r="E8" s="130">
        <v>40.99</v>
      </c>
      <c r="F8" s="130">
        <v>0.08</v>
      </c>
      <c r="G8" s="130">
        <v>2.88</v>
      </c>
      <c r="H8" s="130">
        <v>2.58</v>
      </c>
      <c r="I8" s="130">
        <v>22.42</v>
      </c>
      <c r="J8" s="130">
        <v>0.14000000000000001</v>
      </c>
      <c r="K8" s="130">
        <v>1.85</v>
      </c>
      <c r="L8" s="130">
        <v>8.5500000000000007</v>
      </c>
      <c r="M8" s="130">
        <v>0.95</v>
      </c>
      <c r="N8" s="130">
        <v>0.37</v>
      </c>
      <c r="O8" s="130">
        <v>0.95</v>
      </c>
      <c r="P8" s="130">
        <v>0.01</v>
      </c>
      <c r="Q8" s="130">
        <v>0.18</v>
      </c>
      <c r="R8" s="130">
        <v>0.04</v>
      </c>
      <c r="S8" s="94">
        <v>27.6</v>
      </c>
      <c r="T8" s="94">
        <v>9.5</v>
      </c>
      <c r="U8" s="94">
        <v>0</v>
      </c>
      <c r="V8" s="94">
        <v>7.7</v>
      </c>
      <c r="W8" s="94">
        <v>10.3</v>
      </c>
      <c r="X8" s="94">
        <v>0</v>
      </c>
      <c r="Y8" s="94">
        <v>0.1</v>
      </c>
    </row>
    <row r="9" spans="1:25">
      <c r="A9" s="27" t="s">
        <v>1290</v>
      </c>
      <c r="B9" s="48">
        <f t="shared" si="0"/>
        <v>0.45662100456621002</v>
      </c>
      <c r="C9" s="48">
        <f t="shared" si="1"/>
        <v>1.5342465753424657</v>
      </c>
      <c r="D9" s="52">
        <v>95540</v>
      </c>
      <c r="E9" s="130">
        <v>20.02</v>
      </c>
      <c r="F9" s="130">
        <v>0.02</v>
      </c>
      <c r="G9" s="130">
        <v>0.33</v>
      </c>
      <c r="H9" s="130">
        <v>0.24</v>
      </c>
      <c r="I9" s="130">
        <v>13.44</v>
      </c>
      <c r="J9" s="130">
        <v>0.03</v>
      </c>
      <c r="K9" s="130">
        <v>0.04</v>
      </c>
      <c r="L9" s="130">
        <v>2.74</v>
      </c>
      <c r="M9" s="130">
        <v>0.35</v>
      </c>
      <c r="N9" s="130">
        <v>0.17</v>
      </c>
      <c r="O9" s="130">
        <v>0.56999999999999995</v>
      </c>
      <c r="P9" s="130">
        <v>0.04</v>
      </c>
      <c r="Q9" s="130">
        <v>1.82</v>
      </c>
      <c r="R9" s="130">
        <v>0.23</v>
      </c>
      <c r="S9" s="94">
        <v>5.6</v>
      </c>
      <c r="T9" s="94">
        <v>0.8</v>
      </c>
      <c r="U9" s="94">
        <v>0</v>
      </c>
      <c r="V9" s="94">
        <v>0.8</v>
      </c>
      <c r="W9" s="94">
        <v>1.2</v>
      </c>
      <c r="X9" s="94">
        <v>0</v>
      </c>
      <c r="Y9" s="94">
        <v>2.8</v>
      </c>
    </row>
    <row r="10" spans="1:25">
      <c r="A10" s="27" t="s">
        <v>538</v>
      </c>
      <c r="B10" s="48">
        <f t="shared" si="0"/>
        <v>0</v>
      </c>
      <c r="C10" s="48">
        <f t="shared" si="1"/>
        <v>3.1963470319634701E-2</v>
      </c>
      <c r="D10" s="52">
        <v>554166</v>
      </c>
      <c r="E10" s="130">
        <v>4.45</v>
      </c>
      <c r="F10" s="130">
        <v>0.04</v>
      </c>
      <c r="G10" s="130">
        <v>0.33</v>
      </c>
      <c r="H10" s="130">
        <v>0.28000000000000003</v>
      </c>
      <c r="I10" s="130">
        <v>0.28000000000000003</v>
      </c>
      <c r="J10" s="130">
        <v>0.05</v>
      </c>
      <c r="K10" s="130">
        <v>0.02</v>
      </c>
      <c r="L10" s="130">
        <v>2.21</v>
      </c>
      <c r="M10" s="130">
        <v>0.26</v>
      </c>
      <c r="N10" s="130">
        <v>0.24</v>
      </c>
      <c r="O10" s="130">
        <v>0.39</v>
      </c>
      <c r="P10" s="130">
        <v>0.02</v>
      </c>
      <c r="Q10" s="130">
        <v>0.28999999999999998</v>
      </c>
      <c r="R10" s="130">
        <v>0.06</v>
      </c>
      <c r="S10" s="94">
        <v>3.07</v>
      </c>
      <c r="T10" s="94">
        <v>2.7</v>
      </c>
      <c r="U10" s="94">
        <v>0</v>
      </c>
      <c r="V10" s="94">
        <v>0.3</v>
      </c>
      <c r="W10" s="94">
        <v>0</v>
      </c>
      <c r="X10" s="94">
        <v>0</v>
      </c>
      <c r="Y10" s="94">
        <v>0</v>
      </c>
    </row>
    <row r="11" spans="1:25">
      <c r="A11" t="s">
        <v>554</v>
      </c>
      <c r="B11" s="48">
        <f t="shared" si="0"/>
        <v>0.13698630136986303</v>
      </c>
      <c r="C11" s="48">
        <f t="shared" si="1"/>
        <v>5.7077625570776253E-2</v>
      </c>
      <c r="D11" s="52">
        <v>445106</v>
      </c>
      <c r="E11" s="130">
        <v>7.46</v>
      </c>
      <c r="F11" s="130">
        <v>0.13</v>
      </c>
      <c r="G11" s="130">
        <v>1.17</v>
      </c>
      <c r="H11" s="130">
        <v>0.96</v>
      </c>
      <c r="I11" s="130">
        <v>0.5</v>
      </c>
      <c r="J11" s="130">
        <v>0.1</v>
      </c>
      <c r="K11" s="130">
        <v>0.18</v>
      </c>
      <c r="L11" s="130">
        <v>2.88</v>
      </c>
      <c r="M11" s="130">
        <v>0.74</v>
      </c>
      <c r="N11" s="130">
        <v>0.46</v>
      </c>
      <c r="O11" s="130">
        <v>0.25</v>
      </c>
      <c r="P11" s="130">
        <v>0</v>
      </c>
      <c r="Q11" s="130">
        <v>0.08</v>
      </c>
      <c r="R11" s="130">
        <v>0.01</v>
      </c>
      <c r="S11" s="94">
        <v>15.97</v>
      </c>
      <c r="T11" s="94">
        <v>10</v>
      </c>
      <c r="U11" s="94">
        <v>0.1</v>
      </c>
      <c r="V11" s="94">
        <v>4.7</v>
      </c>
      <c r="W11" s="94">
        <v>1.1000000000000001</v>
      </c>
      <c r="X11" s="94">
        <v>0</v>
      </c>
      <c r="Y11" s="94">
        <v>0.1</v>
      </c>
    </row>
    <row r="12" spans="1:25">
      <c r="A12" t="s">
        <v>624</v>
      </c>
      <c r="B12" s="48">
        <f t="shared" si="0"/>
        <v>0.29680365296803651</v>
      </c>
      <c r="C12" s="48">
        <f t="shared" si="1"/>
        <v>5.2511415525114152E-2</v>
      </c>
      <c r="D12" s="52">
        <v>205942</v>
      </c>
      <c r="E12" s="130">
        <v>12.26</v>
      </c>
      <c r="F12" s="130">
        <v>0.77</v>
      </c>
      <c r="G12" s="130">
        <v>1.91</v>
      </c>
      <c r="H12" s="130">
        <v>2.0499999999999998</v>
      </c>
      <c r="I12" s="130">
        <v>0.46</v>
      </c>
      <c r="J12" s="130">
        <v>0.12</v>
      </c>
      <c r="K12" s="130">
        <v>0.27</v>
      </c>
      <c r="L12" s="130">
        <v>3.84</v>
      </c>
      <c r="M12" s="130">
        <v>0.91</v>
      </c>
      <c r="N12" s="130">
        <v>0.72</v>
      </c>
      <c r="O12" s="130">
        <v>0.49</v>
      </c>
      <c r="P12" s="130">
        <v>0.01</v>
      </c>
      <c r="Q12" s="130">
        <v>0.57999999999999996</v>
      </c>
      <c r="R12" s="130">
        <v>0.14000000000000001</v>
      </c>
      <c r="S12" s="94">
        <v>34.24</v>
      </c>
      <c r="T12" s="94">
        <v>19.8</v>
      </c>
      <c r="U12" s="94">
        <v>3.5</v>
      </c>
      <c r="V12" s="94">
        <v>8.4</v>
      </c>
      <c r="W12" s="94">
        <v>1.7</v>
      </c>
      <c r="X12" s="94">
        <v>0.9</v>
      </c>
      <c r="Y12" s="94">
        <v>0</v>
      </c>
    </row>
    <row r="13" spans="1:25">
      <c r="A13" t="s">
        <v>508</v>
      </c>
      <c r="B13" s="48">
        <f t="shared" si="0"/>
        <v>1.1301369863013697</v>
      </c>
      <c r="C13" s="48">
        <f t="shared" si="1"/>
        <v>8.1050228310502279E-2</v>
      </c>
      <c r="D13" s="52">
        <v>232606</v>
      </c>
      <c r="E13" s="130">
        <v>19.61</v>
      </c>
      <c r="F13" s="130">
        <v>0.71</v>
      </c>
      <c r="G13" s="130">
        <v>3.87</v>
      </c>
      <c r="H13" s="130">
        <v>4.04</v>
      </c>
      <c r="I13" s="130">
        <v>0.71</v>
      </c>
      <c r="J13" s="130">
        <v>0.08</v>
      </c>
      <c r="K13" s="130">
        <v>0.43</v>
      </c>
      <c r="L13" s="130">
        <v>4.8099999999999996</v>
      </c>
      <c r="M13" s="130">
        <v>0.56999999999999995</v>
      </c>
      <c r="N13" s="130">
        <v>0.86</v>
      </c>
      <c r="O13" s="130">
        <v>2.52</v>
      </c>
      <c r="P13" s="130">
        <v>0.01</v>
      </c>
      <c r="Q13" s="130">
        <v>0.78</v>
      </c>
      <c r="R13" s="130">
        <v>0.22</v>
      </c>
      <c r="S13" s="94">
        <v>75.53</v>
      </c>
      <c r="T13" s="94">
        <v>32.700000000000003</v>
      </c>
      <c r="U13" s="94">
        <v>1.6</v>
      </c>
      <c r="V13" s="94">
        <v>31.4</v>
      </c>
      <c r="W13" s="94">
        <v>3.4</v>
      </c>
      <c r="X13" s="94">
        <v>1.4</v>
      </c>
      <c r="Y13" s="94">
        <v>5.0999999999999996</v>
      </c>
    </row>
    <row r="14" spans="1:25">
      <c r="A14" t="s">
        <v>492</v>
      </c>
      <c r="B14" s="48">
        <f t="shared" si="0"/>
        <v>0.69634703196347048</v>
      </c>
      <c r="C14" s="48">
        <f t="shared" si="1"/>
        <v>0.10273972602739725</v>
      </c>
      <c r="D14" s="52">
        <v>270044</v>
      </c>
      <c r="E14" s="130">
        <v>12.13</v>
      </c>
      <c r="F14" s="130">
        <v>0.42</v>
      </c>
      <c r="G14" s="130">
        <v>2.41</v>
      </c>
      <c r="H14" s="130">
        <v>1.79</v>
      </c>
      <c r="I14" s="130">
        <v>0.9</v>
      </c>
      <c r="J14" s="130">
        <v>0.03</v>
      </c>
      <c r="K14" s="130">
        <v>0.68</v>
      </c>
      <c r="L14" s="130">
        <v>3.5</v>
      </c>
      <c r="M14" s="130">
        <v>0.61</v>
      </c>
      <c r="N14" s="130">
        <v>0.17</v>
      </c>
      <c r="O14" s="130">
        <v>1.1100000000000001</v>
      </c>
      <c r="P14" s="130">
        <v>0</v>
      </c>
      <c r="Q14" s="130">
        <v>0.48</v>
      </c>
      <c r="R14" s="130">
        <v>0.02</v>
      </c>
      <c r="S14" s="94">
        <v>42.4</v>
      </c>
      <c r="T14" s="94">
        <v>7.3</v>
      </c>
      <c r="U14" s="94">
        <v>0.1</v>
      </c>
      <c r="V14" s="94">
        <v>29</v>
      </c>
      <c r="W14" s="94">
        <v>4.4000000000000004</v>
      </c>
      <c r="X14" s="94">
        <v>1.4</v>
      </c>
      <c r="Y14" s="94">
        <v>0.3</v>
      </c>
    </row>
    <row r="15" spans="1:25">
      <c r="A15" t="s">
        <v>466</v>
      </c>
      <c r="B15" s="48">
        <f t="shared" si="0"/>
        <v>0.75342465753424659</v>
      </c>
      <c r="C15" s="48">
        <f t="shared" si="1"/>
        <v>9.8173515981735154E-2</v>
      </c>
      <c r="D15" s="52">
        <v>1099544</v>
      </c>
      <c r="E15" s="130">
        <v>9.84</v>
      </c>
      <c r="F15" s="130">
        <v>0.09</v>
      </c>
      <c r="G15" s="130">
        <v>1.1000000000000001</v>
      </c>
      <c r="H15" s="130">
        <v>0.86</v>
      </c>
      <c r="I15" s="130">
        <v>0.86</v>
      </c>
      <c r="J15" s="130">
        <v>0.13</v>
      </c>
      <c r="K15" s="130">
        <v>0.26</v>
      </c>
      <c r="L15" s="130">
        <v>2.61</v>
      </c>
      <c r="M15" s="130">
        <v>1.07</v>
      </c>
      <c r="N15" s="130">
        <v>0.35</v>
      </c>
      <c r="O15" s="130">
        <v>1</v>
      </c>
      <c r="P15" s="130">
        <v>0.12</v>
      </c>
      <c r="Q15" s="130">
        <v>1.08</v>
      </c>
      <c r="R15" s="130">
        <v>0.3</v>
      </c>
      <c r="S15" s="94">
        <v>23.34</v>
      </c>
      <c r="T15" s="94">
        <v>7</v>
      </c>
      <c r="U15" s="94">
        <v>0.4</v>
      </c>
      <c r="V15" s="94">
        <v>9.3000000000000007</v>
      </c>
      <c r="W15" s="94">
        <v>1</v>
      </c>
      <c r="X15" s="94">
        <v>1</v>
      </c>
      <c r="Y15" s="94">
        <v>4.5999999999999996</v>
      </c>
    </row>
    <row r="16" spans="1:25">
      <c r="A16" s="27" t="s">
        <v>535</v>
      </c>
      <c r="B16" s="48">
        <f t="shared" si="0"/>
        <v>0.12557077625570776</v>
      </c>
      <c r="C16" s="48">
        <f t="shared" si="1"/>
        <v>5.3652968036529677E-2</v>
      </c>
      <c r="D16" s="52">
        <v>1022012</v>
      </c>
      <c r="E16" s="130">
        <v>16.079999999999998</v>
      </c>
      <c r="F16" s="130">
        <v>0.38</v>
      </c>
      <c r="G16" s="130">
        <v>3.23</v>
      </c>
      <c r="H16" s="130">
        <v>2.4300000000000002</v>
      </c>
      <c r="I16" s="130">
        <v>0.47</v>
      </c>
      <c r="J16" s="130">
        <v>0.17</v>
      </c>
      <c r="K16" s="130">
        <v>0.11</v>
      </c>
      <c r="L16" s="130">
        <v>4.24</v>
      </c>
      <c r="M16" s="130">
        <v>0.65</v>
      </c>
      <c r="N16" s="130">
        <v>3.09</v>
      </c>
      <c r="O16" s="130">
        <v>0.65</v>
      </c>
      <c r="P16" s="130">
        <v>0.02</v>
      </c>
      <c r="Q16" s="130">
        <v>0.54</v>
      </c>
      <c r="R16" s="130">
        <v>0.09</v>
      </c>
      <c r="S16" s="94">
        <v>17.899999999999999</v>
      </c>
      <c r="T16" s="94">
        <v>14.2</v>
      </c>
      <c r="U16" s="94">
        <v>0.4</v>
      </c>
      <c r="V16" s="94">
        <v>2.2999999999999998</v>
      </c>
      <c r="W16" s="94">
        <v>0.2</v>
      </c>
      <c r="X16" s="94">
        <v>0.1</v>
      </c>
      <c r="Y16" s="94">
        <v>0.8</v>
      </c>
    </row>
    <row r="17" spans="1:25">
      <c r="A17" s="27" t="s">
        <v>1291</v>
      </c>
      <c r="B17" s="48">
        <f t="shared" si="0"/>
        <v>6.8493150684931517E-2</v>
      </c>
      <c r="C17" s="48">
        <f t="shared" si="1"/>
        <v>0.25228310502283108</v>
      </c>
      <c r="D17" s="52">
        <v>649706</v>
      </c>
      <c r="E17" s="130">
        <v>6.74</v>
      </c>
      <c r="F17" s="130">
        <v>0.03</v>
      </c>
      <c r="G17" s="130">
        <v>0.33</v>
      </c>
      <c r="H17" s="130">
        <v>0.28000000000000003</v>
      </c>
      <c r="I17" s="130">
        <v>2.21</v>
      </c>
      <c r="J17" s="130">
        <v>0.04</v>
      </c>
      <c r="K17" s="130">
        <v>0.02</v>
      </c>
      <c r="L17" s="130">
        <v>2.29</v>
      </c>
      <c r="M17" s="130">
        <v>0.27</v>
      </c>
      <c r="N17" s="130">
        <v>0.23</v>
      </c>
      <c r="O17" s="130">
        <v>0.42</v>
      </c>
      <c r="P17" s="130">
        <v>0.02</v>
      </c>
      <c r="Q17" s="130">
        <v>0.52</v>
      </c>
      <c r="R17" s="130">
        <v>0.08</v>
      </c>
      <c r="S17" s="94">
        <v>3.44</v>
      </c>
      <c r="T17" s="94">
        <v>2.4</v>
      </c>
      <c r="U17" s="94">
        <v>0</v>
      </c>
      <c r="V17" s="94">
        <v>0.4</v>
      </c>
      <c r="W17" s="94">
        <v>0.2</v>
      </c>
      <c r="X17" s="94">
        <v>0</v>
      </c>
      <c r="Y17" s="94">
        <v>0.4</v>
      </c>
    </row>
    <row r="18" spans="1:25">
      <c r="A18" s="137" t="s">
        <v>669</v>
      </c>
      <c r="B18" s="94">
        <f>2*B6</f>
        <v>35.068493150684937</v>
      </c>
      <c r="C18" s="94">
        <f>2*C6</f>
        <v>2.2534246575342465</v>
      </c>
    </row>
    <row r="19" spans="1:25">
      <c r="A19" s="137" t="s">
        <v>471</v>
      </c>
      <c r="B19" s="94">
        <f>B4</f>
        <v>2.2831050228310501E-2</v>
      </c>
      <c r="C19" s="94">
        <f>C4</f>
        <v>6.6210045662100453E-2</v>
      </c>
    </row>
    <row r="20" spans="1:25">
      <c r="A20" s="201" t="s">
        <v>392</v>
      </c>
      <c r="B20" s="224" t="s">
        <v>34</v>
      </c>
      <c r="C20" s="224" t="s">
        <v>34</v>
      </c>
    </row>
    <row r="21" spans="1:25">
      <c r="A21" s="201" t="s">
        <v>630</v>
      </c>
      <c r="B21" s="224" t="s">
        <v>34</v>
      </c>
      <c r="C21" s="224" t="s">
        <v>34</v>
      </c>
    </row>
  </sheetData>
  <mergeCells count="2">
    <mergeCell ref="E1:R1"/>
    <mergeCell ref="S1:Y1"/>
  </mergeCells>
  <pageMargins left="0.7" right="0.7" top="0.75" bottom="0.75" header="0.3" footer="0.3"/>
  <legacy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M115"/>
  <sheetViews>
    <sheetView workbookViewId="0">
      <pane xSplit="1" ySplit="2" topLeftCell="B27" activePane="bottomRight" state="frozen"/>
      <selection pane="bottomRight" activeCell="E54" sqref="E54"/>
      <selection pane="bottomLeft" activeCell="A3" sqref="A3"/>
      <selection pane="topRight" activeCell="B1" sqref="B1"/>
    </sheetView>
  </sheetViews>
  <sheetFormatPr defaultRowHeight="12.75"/>
  <cols>
    <col min="1" max="1" width="5.7109375" customWidth="1"/>
    <col min="2" max="2" width="33.28515625" customWidth="1"/>
    <col min="3" max="3" width="10.5703125" style="2" customWidth="1"/>
    <col min="4" max="4" width="10.5703125" style="60" customWidth="1"/>
    <col min="5" max="5" width="10.5703125" style="2" customWidth="1"/>
    <col min="6" max="6" width="10.5703125" style="60" customWidth="1"/>
    <col min="7" max="8" width="10.5703125" style="2" customWidth="1"/>
    <col min="9" max="10" width="10.5703125" style="60" customWidth="1"/>
    <col min="11" max="11" width="9.140625" style="87"/>
    <col min="12" max="13" width="26.5703125" style="88" customWidth="1"/>
  </cols>
  <sheetData>
    <row r="1" spans="1:13">
      <c r="C1" s="2" t="s">
        <v>1292</v>
      </c>
      <c r="D1" s="60" t="s">
        <v>1293</v>
      </c>
      <c r="E1" s="2" t="s">
        <v>1294</v>
      </c>
      <c r="F1" s="61" t="s">
        <v>1295</v>
      </c>
      <c r="G1" s="2" t="s">
        <v>1296</v>
      </c>
      <c r="I1" s="61" t="s">
        <v>1297</v>
      </c>
      <c r="J1" s="61"/>
      <c r="K1" s="92" t="s">
        <v>1298</v>
      </c>
    </row>
    <row r="2" spans="1:13" ht="51">
      <c r="C2" s="57" t="s">
        <v>1299</v>
      </c>
      <c r="D2" s="59" t="s">
        <v>1300</v>
      </c>
      <c r="E2" s="57" t="s">
        <v>1301</v>
      </c>
      <c r="F2" s="59" t="s">
        <v>1302</v>
      </c>
      <c r="G2" s="58" t="s">
        <v>1302</v>
      </c>
      <c r="H2" s="58" t="s">
        <v>1303</v>
      </c>
      <c r="I2" s="59" t="s">
        <v>1304</v>
      </c>
      <c r="J2" s="59"/>
      <c r="L2" s="88" t="s">
        <v>1270</v>
      </c>
      <c r="M2" s="88" t="s">
        <v>1305</v>
      </c>
    </row>
    <row r="3" spans="1:13">
      <c r="A3" s="284" t="s">
        <v>1270</v>
      </c>
      <c r="B3" t="str">
        <f>K3&amp;" "&amp;L3</f>
        <v>BA Assembly</v>
      </c>
      <c r="C3" s="2">
        <v>50</v>
      </c>
      <c r="D3" s="60">
        <v>0.25</v>
      </c>
      <c r="E3" s="2">
        <v>215</v>
      </c>
      <c r="F3" s="60">
        <v>0.3</v>
      </c>
      <c r="G3" s="2">
        <v>15</v>
      </c>
      <c r="H3" s="2" t="s">
        <v>1109</v>
      </c>
      <c r="I3" s="60">
        <v>2.0699999999999998</v>
      </c>
      <c r="K3" s="89" t="s">
        <v>858</v>
      </c>
      <c r="L3" s="88" t="s">
        <v>471</v>
      </c>
    </row>
    <row r="4" spans="1:13">
      <c r="A4" s="284"/>
      <c r="B4" t="str">
        <f t="shared" ref="B4:B12" si="0">K4&amp;" "&amp;L4</f>
        <v>BA Educational</v>
      </c>
      <c r="C4" s="2">
        <v>75</v>
      </c>
      <c r="D4" s="60">
        <v>0.5</v>
      </c>
      <c r="E4" s="2">
        <v>215</v>
      </c>
      <c r="F4" s="60">
        <v>0.2</v>
      </c>
      <c r="G4" s="2">
        <v>15</v>
      </c>
      <c r="H4" s="2" t="s">
        <v>25</v>
      </c>
      <c r="I4" s="60">
        <v>1.29</v>
      </c>
      <c r="K4" s="89" t="s">
        <v>858</v>
      </c>
      <c r="L4" s="88" t="s">
        <v>1306</v>
      </c>
    </row>
    <row r="5" spans="1:13">
      <c r="A5" s="284"/>
      <c r="B5" t="str">
        <f t="shared" si="0"/>
        <v>BA Food Service</v>
      </c>
      <c r="C5" s="2">
        <v>100</v>
      </c>
      <c r="D5" s="60">
        <v>0.1</v>
      </c>
      <c r="E5" s="2">
        <v>390</v>
      </c>
      <c r="F5" s="60">
        <v>0.25</v>
      </c>
      <c r="G5" s="2">
        <v>25</v>
      </c>
      <c r="H5" s="2" t="s">
        <v>1107</v>
      </c>
      <c r="I5" s="60">
        <v>1.37</v>
      </c>
      <c r="K5" s="89" t="s">
        <v>858</v>
      </c>
      <c r="L5" s="88" t="s">
        <v>1307</v>
      </c>
    </row>
    <row r="6" spans="1:13">
      <c r="A6" s="284"/>
      <c r="B6" t="str">
        <f t="shared" si="0"/>
        <v>BA Health &amp; Institutional</v>
      </c>
      <c r="C6" s="2">
        <v>200</v>
      </c>
      <c r="D6" s="60">
        <v>1</v>
      </c>
      <c r="E6" s="2">
        <v>135</v>
      </c>
      <c r="F6" s="60">
        <v>0.4</v>
      </c>
      <c r="G6" s="2">
        <v>80</v>
      </c>
      <c r="H6" s="2" t="s">
        <v>1104</v>
      </c>
      <c r="I6" s="60">
        <v>1.44</v>
      </c>
      <c r="K6" s="89" t="s">
        <v>858</v>
      </c>
      <c r="L6" s="88" t="s">
        <v>1308</v>
      </c>
    </row>
    <row r="7" spans="1:13">
      <c r="A7" s="284"/>
      <c r="B7" t="str">
        <f t="shared" si="0"/>
        <v xml:space="preserve">BA Industrial </v>
      </c>
      <c r="C7" s="2">
        <v>750</v>
      </c>
      <c r="D7" s="60">
        <v>0.2</v>
      </c>
      <c r="E7" s="2">
        <v>225</v>
      </c>
      <c r="F7" s="60">
        <v>0.45</v>
      </c>
      <c r="G7" s="2">
        <v>340</v>
      </c>
      <c r="H7" s="2" t="s">
        <v>1113</v>
      </c>
      <c r="I7" s="60">
        <v>1.21</v>
      </c>
      <c r="K7" s="89" t="s">
        <v>858</v>
      </c>
      <c r="L7" s="88" t="s">
        <v>1309</v>
      </c>
    </row>
    <row r="8" spans="1:13">
      <c r="A8" s="284"/>
      <c r="B8" t="str">
        <f t="shared" si="0"/>
        <v>BA Lodging</v>
      </c>
      <c r="C8" s="2">
        <v>250</v>
      </c>
      <c r="D8" s="60">
        <v>0.25</v>
      </c>
      <c r="E8" s="2">
        <v>1700</v>
      </c>
      <c r="F8" s="60">
        <v>0.05</v>
      </c>
      <c r="G8" s="2">
        <v>30</v>
      </c>
      <c r="H8" s="2" t="s">
        <v>1110</v>
      </c>
      <c r="I8" s="60">
        <v>1.1499999999999999</v>
      </c>
      <c r="K8" s="89" t="s">
        <v>858</v>
      </c>
      <c r="L8" s="88" t="s">
        <v>492</v>
      </c>
    </row>
    <row r="9" spans="1:13">
      <c r="A9" s="284"/>
      <c r="B9" t="str">
        <f t="shared" si="0"/>
        <v>BA N/A</v>
      </c>
      <c r="C9" s="2" t="s">
        <v>45</v>
      </c>
      <c r="D9" s="60" t="s">
        <v>45</v>
      </c>
      <c r="E9" s="2" t="s">
        <v>45</v>
      </c>
      <c r="F9" s="60" t="s">
        <v>45</v>
      </c>
      <c r="G9" s="2" t="s">
        <v>45</v>
      </c>
      <c r="H9" s="2" t="s">
        <v>45</v>
      </c>
      <c r="I9" s="60" t="s">
        <v>45</v>
      </c>
      <c r="K9" s="89" t="s">
        <v>858</v>
      </c>
      <c r="L9" s="88" t="s">
        <v>45</v>
      </c>
    </row>
    <row r="10" spans="1:13">
      <c r="A10" s="284"/>
      <c r="B10" t="str">
        <f t="shared" si="0"/>
        <v>BA Office (Business)</v>
      </c>
      <c r="C10" s="2">
        <v>250</v>
      </c>
      <c r="D10" s="60">
        <v>0.75</v>
      </c>
      <c r="E10" s="2">
        <v>300</v>
      </c>
      <c r="F10" s="60">
        <v>0.08</v>
      </c>
      <c r="G10" s="2">
        <v>20</v>
      </c>
      <c r="H10" s="2" t="s">
        <v>1106</v>
      </c>
      <c r="I10" s="60">
        <v>1.26</v>
      </c>
      <c r="K10" s="89" t="s">
        <v>858</v>
      </c>
      <c r="L10" s="88" t="s">
        <v>1310</v>
      </c>
    </row>
    <row r="11" spans="1:13">
      <c r="A11" s="284"/>
      <c r="B11" t="str">
        <f t="shared" si="0"/>
        <v>BA Retail</v>
      </c>
      <c r="C11" s="2">
        <v>300</v>
      </c>
      <c r="D11" s="60">
        <v>0.25</v>
      </c>
      <c r="E11" s="2">
        <v>135</v>
      </c>
      <c r="F11" s="60">
        <v>0.2</v>
      </c>
      <c r="G11" s="2">
        <v>60</v>
      </c>
      <c r="H11" s="2" t="s">
        <v>1113</v>
      </c>
      <c r="I11" s="60">
        <v>2.48</v>
      </c>
      <c r="K11" s="89" t="s">
        <v>858</v>
      </c>
      <c r="L11" s="88" t="s">
        <v>68</v>
      </c>
    </row>
    <row r="12" spans="1:13">
      <c r="A12" s="284"/>
      <c r="B12" t="str">
        <f t="shared" si="0"/>
        <v>BA Warehouse (Storage)</v>
      </c>
      <c r="C12" s="2">
        <v>15000</v>
      </c>
      <c r="D12" s="60">
        <v>0.1</v>
      </c>
      <c r="E12" s="2">
        <v>1000</v>
      </c>
      <c r="F12" s="60">
        <v>0.2</v>
      </c>
      <c r="G12" s="2">
        <v>750</v>
      </c>
      <c r="H12" s="2" t="s">
        <v>1108</v>
      </c>
      <c r="I12" s="60">
        <v>1.03</v>
      </c>
      <c r="K12" s="89" t="s">
        <v>858</v>
      </c>
      <c r="L12" s="88" t="s">
        <v>1311</v>
      </c>
    </row>
    <row r="13" spans="1:13">
      <c r="A13" s="287" t="s">
        <v>959</v>
      </c>
      <c r="B13" t="str">
        <f>K13&amp;" "&amp;L13</f>
        <v>CS Active storage</v>
      </c>
      <c r="C13" s="2">
        <v>500</v>
      </c>
      <c r="D13" s="60">
        <v>0</v>
      </c>
      <c r="E13" s="2">
        <v>0</v>
      </c>
      <c r="F13" s="60">
        <v>0.04</v>
      </c>
      <c r="G13" s="2">
        <v>15</v>
      </c>
      <c r="H13" s="2" t="s">
        <v>1312</v>
      </c>
      <c r="I13" s="60">
        <v>1.19</v>
      </c>
      <c r="K13" s="89" t="s">
        <v>863</v>
      </c>
      <c r="L13" s="88" t="s">
        <v>1313</v>
      </c>
    </row>
    <row r="14" spans="1:13">
      <c r="A14" s="288"/>
      <c r="B14" t="str">
        <f t="shared" ref="B14:B35" si="1">K14&amp;" "&amp;L14</f>
        <v>CS Atria- 1st three floors</v>
      </c>
      <c r="C14" s="2">
        <v>100</v>
      </c>
      <c r="D14" s="60">
        <v>0.25</v>
      </c>
      <c r="E14" s="2">
        <v>0</v>
      </c>
      <c r="F14" s="60">
        <v>0.1</v>
      </c>
      <c r="G14" s="2">
        <v>10</v>
      </c>
      <c r="H14" s="2" t="s">
        <v>1312</v>
      </c>
      <c r="I14" s="60">
        <v>1.36</v>
      </c>
      <c r="K14" s="89" t="s">
        <v>863</v>
      </c>
      <c r="L14" s="88" t="s">
        <v>1314</v>
      </c>
    </row>
    <row r="15" spans="1:13">
      <c r="A15" s="288"/>
      <c r="B15" t="str">
        <f t="shared" si="1"/>
        <v>CS Auto repair</v>
      </c>
      <c r="C15" s="2">
        <v>200</v>
      </c>
      <c r="D15" s="60">
        <v>0.5</v>
      </c>
      <c r="E15" s="2">
        <v>300</v>
      </c>
      <c r="F15" s="60">
        <v>1.5</v>
      </c>
      <c r="G15" s="2">
        <v>300</v>
      </c>
      <c r="H15" s="2" t="s">
        <v>1113</v>
      </c>
      <c r="I15" s="60">
        <v>1.31</v>
      </c>
      <c r="K15" s="89" t="s">
        <v>863</v>
      </c>
      <c r="L15" s="88" t="s">
        <v>1315</v>
      </c>
    </row>
    <row r="16" spans="1:13">
      <c r="A16" s="288"/>
      <c r="B16" t="str">
        <f t="shared" si="1"/>
        <v>CS Banking activity</v>
      </c>
      <c r="C16" s="2">
        <v>200</v>
      </c>
      <c r="D16" s="60">
        <v>0.75</v>
      </c>
      <c r="E16" s="2">
        <v>300</v>
      </c>
      <c r="F16" s="60">
        <v>0.1</v>
      </c>
      <c r="G16" s="2">
        <v>20</v>
      </c>
      <c r="H16" s="2" t="s">
        <v>1106</v>
      </c>
      <c r="I16" s="60" t="s">
        <v>1316</v>
      </c>
      <c r="K16" s="89" t="s">
        <v>863</v>
      </c>
      <c r="L16" s="88" t="s">
        <v>1317</v>
      </c>
    </row>
    <row r="17" spans="1:13">
      <c r="A17" s="288"/>
      <c r="B17" t="str">
        <f t="shared" si="1"/>
        <v>CS Classroom/lecture/training</v>
      </c>
      <c r="C17" s="2">
        <v>75</v>
      </c>
      <c r="D17" s="60">
        <v>0.5</v>
      </c>
      <c r="E17" s="2">
        <v>215</v>
      </c>
      <c r="F17" s="60">
        <v>0.2</v>
      </c>
      <c r="G17" s="2">
        <v>15</v>
      </c>
      <c r="H17" s="2" t="s">
        <v>1312</v>
      </c>
      <c r="I17" s="60">
        <v>1.45</v>
      </c>
      <c r="K17" s="89" t="s">
        <v>863</v>
      </c>
      <c r="L17" s="90" t="s">
        <v>1318</v>
      </c>
      <c r="M17" s="90"/>
    </row>
    <row r="18" spans="1:13">
      <c r="A18" s="288"/>
      <c r="B18" t="str">
        <f t="shared" si="1"/>
        <v>CS Conf./mtg./multi-use</v>
      </c>
      <c r="C18" s="2">
        <v>50</v>
      </c>
      <c r="D18" s="60">
        <v>0.1</v>
      </c>
      <c r="E18" s="2">
        <v>150</v>
      </c>
      <c r="F18" s="60">
        <v>0.4</v>
      </c>
      <c r="G18" s="2">
        <v>20</v>
      </c>
      <c r="H18" s="2" t="s">
        <v>1312</v>
      </c>
      <c r="I18" s="60">
        <v>0.92</v>
      </c>
      <c r="K18" s="89" t="s">
        <v>863</v>
      </c>
      <c r="L18" s="88" t="s">
        <v>1319</v>
      </c>
    </row>
    <row r="19" spans="1:13">
      <c r="A19" s="288"/>
      <c r="B19" t="str">
        <f t="shared" si="1"/>
        <v>CS Corridor/transition</v>
      </c>
      <c r="C19" s="2">
        <v>1000</v>
      </c>
      <c r="D19" s="60">
        <v>0</v>
      </c>
      <c r="E19" s="2">
        <v>0</v>
      </c>
      <c r="F19" s="60">
        <v>0.05</v>
      </c>
      <c r="G19" s="2">
        <v>50</v>
      </c>
      <c r="H19" s="2" t="s">
        <v>1312</v>
      </c>
      <c r="I19" s="60">
        <v>0.56999999999999995</v>
      </c>
      <c r="K19" s="89" t="s">
        <v>863</v>
      </c>
      <c r="L19" s="88" t="s">
        <v>1320</v>
      </c>
    </row>
    <row r="20" spans="1:13">
      <c r="A20" s="288"/>
      <c r="B20" t="str">
        <f t="shared" si="1"/>
        <v>CS Dining area- General</v>
      </c>
      <c r="C20" s="2">
        <v>100</v>
      </c>
      <c r="D20" s="60">
        <v>0.1</v>
      </c>
      <c r="E20" s="2">
        <v>300</v>
      </c>
      <c r="F20" s="60">
        <v>0.2</v>
      </c>
      <c r="G20" s="2">
        <v>20</v>
      </c>
      <c r="H20" s="2" t="s">
        <v>1312</v>
      </c>
      <c r="I20" s="60">
        <v>1.31</v>
      </c>
      <c r="K20" s="89" t="s">
        <v>863</v>
      </c>
      <c r="L20" s="88" t="s">
        <v>1321</v>
      </c>
    </row>
    <row r="21" spans="1:13">
      <c r="A21" s="288"/>
      <c r="B21" t="str">
        <f t="shared" si="1"/>
        <v>CS Dressing/locker/fitting</v>
      </c>
      <c r="C21" s="2">
        <v>100</v>
      </c>
      <c r="D21" s="60">
        <v>0.25</v>
      </c>
      <c r="E21" s="2">
        <v>0</v>
      </c>
      <c r="F21" s="60">
        <v>0.5</v>
      </c>
      <c r="G21" s="2">
        <v>50</v>
      </c>
      <c r="H21" s="2" t="s">
        <v>1312</v>
      </c>
      <c r="I21" s="60">
        <v>0.91</v>
      </c>
      <c r="K21" s="89" t="s">
        <v>863</v>
      </c>
      <c r="L21" s="88" t="s">
        <v>1322</v>
      </c>
    </row>
    <row r="22" spans="1:13">
      <c r="A22" s="288"/>
      <c r="B22" t="str">
        <f t="shared" si="1"/>
        <v>CS Food preparation</v>
      </c>
      <c r="C22" s="2">
        <v>200</v>
      </c>
      <c r="D22" s="60">
        <v>1</v>
      </c>
      <c r="E22" s="2">
        <v>400</v>
      </c>
      <c r="F22" s="60">
        <v>0.3</v>
      </c>
      <c r="G22" s="2">
        <v>60</v>
      </c>
      <c r="H22" s="2" t="s">
        <v>1312</v>
      </c>
      <c r="I22" s="60">
        <v>1.19</v>
      </c>
      <c r="K22" s="89" t="s">
        <v>863</v>
      </c>
      <c r="L22" s="88" t="s">
        <v>1323</v>
      </c>
    </row>
    <row r="23" spans="1:13">
      <c r="A23" s="288"/>
      <c r="B23" t="str">
        <f t="shared" si="1"/>
        <v>CS Inactive storage</v>
      </c>
      <c r="C23" s="2">
        <v>1000</v>
      </c>
      <c r="D23" s="60">
        <v>0</v>
      </c>
      <c r="E23" s="2">
        <v>0</v>
      </c>
      <c r="F23" s="60">
        <v>0.04</v>
      </c>
      <c r="G23" s="2">
        <v>15</v>
      </c>
      <c r="H23" s="2" t="s">
        <v>1312</v>
      </c>
      <c r="I23" s="60">
        <v>0.81</v>
      </c>
      <c r="K23" s="89" t="s">
        <v>863</v>
      </c>
      <c r="L23" s="88" t="s">
        <v>1324</v>
      </c>
    </row>
    <row r="24" spans="1:13">
      <c r="A24" s="288"/>
      <c r="B24" t="str">
        <f t="shared" si="1"/>
        <v>CS Ironing/sorting</v>
      </c>
      <c r="C24" s="2">
        <v>200</v>
      </c>
      <c r="D24" s="60">
        <v>2</v>
      </c>
      <c r="E24" s="2">
        <v>215</v>
      </c>
      <c r="F24" s="60">
        <v>0.1</v>
      </c>
      <c r="G24" s="2">
        <v>20</v>
      </c>
      <c r="H24" s="2" t="s">
        <v>1312</v>
      </c>
      <c r="I24" s="60">
        <v>1.28</v>
      </c>
      <c r="K24" s="89" t="s">
        <v>863</v>
      </c>
      <c r="L24" s="88" t="s">
        <v>1325</v>
      </c>
    </row>
    <row r="25" spans="1:13">
      <c r="A25" s="288"/>
      <c r="B25" t="str">
        <f t="shared" si="1"/>
        <v>CS Laboratory/research</v>
      </c>
      <c r="C25" s="2">
        <v>200</v>
      </c>
      <c r="D25" s="60">
        <v>1</v>
      </c>
      <c r="E25" s="2">
        <v>600</v>
      </c>
      <c r="F25" s="60">
        <v>0.1</v>
      </c>
      <c r="G25" s="2">
        <v>20</v>
      </c>
      <c r="H25" s="2" t="s">
        <v>1106</v>
      </c>
      <c r="I25" s="60" t="s">
        <v>1326</v>
      </c>
      <c r="K25" s="89" t="s">
        <v>863</v>
      </c>
      <c r="L25" s="88" t="s">
        <v>1327</v>
      </c>
    </row>
    <row r="26" spans="1:13">
      <c r="A26" s="288"/>
      <c r="B26" t="str">
        <f t="shared" si="1"/>
        <v>CS Lobby</v>
      </c>
      <c r="C26" s="2">
        <v>100</v>
      </c>
      <c r="D26" s="60">
        <v>0.25</v>
      </c>
      <c r="E26" s="2">
        <v>100</v>
      </c>
      <c r="F26" s="60">
        <v>0.15</v>
      </c>
      <c r="G26" s="2">
        <v>15</v>
      </c>
      <c r="H26" s="2" t="s">
        <v>1312</v>
      </c>
      <c r="I26" s="60">
        <v>1.77</v>
      </c>
      <c r="K26" s="89" t="s">
        <v>863</v>
      </c>
      <c r="L26" s="88" t="s">
        <v>896</v>
      </c>
    </row>
    <row r="27" spans="1:13">
      <c r="A27" s="288"/>
      <c r="B27" t="str">
        <f t="shared" si="1"/>
        <v>CS Lounge/recreation</v>
      </c>
      <c r="C27" s="2">
        <v>100</v>
      </c>
      <c r="D27" s="60">
        <v>0.1</v>
      </c>
      <c r="E27" s="2">
        <v>300</v>
      </c>
      <c r="F27" s="60">
        <v>0.2</v>
      </c>
      <c r="G27" s="2">
        <v>20</v>
      </c>
      <c r="H27" s="2" t="s">
        <v>1312</v>
      </c>
      <c r="I27" s="60">
        <v>1.32</v>
      </c>
      <c r="K27" s="89" t="s">
        <v>863</v>
      </c>
      <c r="L27" s="88" t="s">
        <v>1328</v>
      </c>
    </row>
    <row r="28" spans="1:13">
      <c r="A28" s="288"/>
      <c r="B28" t="str">
        <f t="shared" si="1"/>
        <v>CS Mechanical/electrical</v>
      </c>
      <c r="C28" s="2">
        <v>2000</v>
      </c>
      <c r="D28" s="60">
        <v>0.1</v>
      </c>
      <c r="E28" s="2">
        <v>0</v>
      </c>
      <c r="F28" s="60">
        <v>0.05</v>
      </c>
      <c r="G28" s="2">
        <v>100</v>
      </c>
      <c r="H28" s="2" t="s">
        <v>1312</v>
      </c>
      <c r="I28" s="60">
        <v>0.81</v>
      </c>
      <c r="K28" s="89" t="s">
        <v>863</v>
      </c>
      <c r="L28" s="88" t="s">
        <v>1329</v>
      </c>
    </row>
    <row r="29" spans="1:13">
      <c r="A29" s="288"/>
      <c r="B29" t="str">
        <f t="shared" si="1"/>
        <v>CS Office - enclosed</v>
      </c>
      <c r="C29" s="2">
        <v>200</v>
      </c>
      <c r="D29" s="60">
        <v>0.75</v>
      </c>
      <c r="E29" s="2">
        <v>300</v>
      </c>
      <c r="F29" s="60">
        <v>0.1</v>
      </c>
      <c r="G29" s="2">
        <v>20</v>
      </c>
      <c r="H29" s="2" t="s">
        <v>1106</v>
      </c>
      <c r="I29" s="60">
        <v>1.49</v>
      </c>
      <c r="K29" s="89" t="s">
        <v>863</v>
      </c>
      <c r="L29" s="88" t="s">
        <v>1330</v>
      </c>
    </row>
    <row r="30" spans="1:13">
      <c r="A30" s="288"/>
      <c r="B30" t="str">
        <f t="shared" si="1"/>
        <v>CS Office - open</v>
      </c>
      <c r="C30" s="2">
        <v>200</v>
      </c>
      <c r="D30" s="60">
        <v>0.75</v>
      </c>
      <c r="E30" s="2">
        <v>300</v>
      </c>
      <c r="F30" s="60">
        <v>0.1</v>
      </c>
      <c r="G30" s="2">
        <v>20</v>
      </c>
      <c r="H30" s="2" t="s">
        <v>1106</v>
      </c>
      <c r="I30" s="60">
        <v>1.24</v>
      </c>
      <c r="K30" s="89" t="s">
        <v>863</v>
      </c>
      <c r="L30" s="88" t="s">
        <v>1331</v>
      </c>
    </row>
    <row r="31" spans="1:13">
      <c r="A31" s="288"/>
      <c r="B31" t="str">
        <f t="shared" si="1"/>
        <v>CS Reception/waiting</v>
      </c>
      <c r="C31" s="2">
        <v>100</v>
      </c>
      <c r="D31" s="60">
        <v>0.25</v>
      </c>
      <c r="E31" s="2">
        <v>100</v>
      </c>
      <c r="F31" s="60">
        <v>0.15</v>
      </c>
      <c r="G31" s="2">
        <v>15</v>
      </c>
      <c r="H31" s="2" t="s">
        <v>1312</v>
      </c>
      <c r="I31" s="60">
        <v>1.52</v>
      </c>
      <c r="K31" s="89" t="s">
        <v>863</v>
      </c>
      <c r="L31" s="88" t="s">
        <v>1332</v>
      </c>
    </row>
    <row r="32" spans="1:13">
      <c r="A32" s="288"/>
      <c r="B32" t="str">
        <f t="shared" si="1"/>
        <v>CS Restrooms</v>
      </c>
      <c r="C32" s="2">
        <v>300</v>
      </c>
      <c r="D32" s="60">
        <v>0.1</v>
      </c>
      <c r="E32" s="2">
        <v>0</v>
      </c>
      <c r="F32" s="60">
        <v>0.16700000000000001</v>
      </c>
      <c r="G32" s="2">
        <v>50</v>
      </c>
      <c r="H32" s="2" t="s">
        <v>1312</v>
      </c>
      <c r="I32" s="60">
        <v>0.77</v>
      </c>
      <c r="K32" s="89" t="s">
        <v>863</v>
      </c>
      <c r="L32" s="88" t="s">
        <v>1030</v>
      </c>
    </row>
    <row r="33" spans="1:13">
      <c r="A33" s="288"/>
      <c r="B33" t="str">
        <f t="shared" si="1"/>
        <v>CS Stairs- active</v>
      </c>
      <c r="C33" s="2">
        <v>1000</v>
      </c>
      <c r="D33" s="60">
        <v>0</v>
      </c>
      <c r="E33" s="2">
        <v>0</v>
      </c>
      <c r="F33" s="60">
        <v>0.05</v>
      </c>
      <c r="G33" s="2">
        <v>50</v>
      </c>
      <c r="H33" s="2" t="s">
        <v>1312</v>
      </c>
      <c r="I33" s="60">
        <v>0.81</v>
      </c>
      <c r="K33" s="89" t="s">
        <v>863</v>
      </c>
      <c r="L33" s="88" t="s">
        <v>1333</v>
      </c>
    </row>
    <row r="34" spans="1:13">
      <c r="A34" s="288"/>
      <c r="B34" t="str">
        <f t="shared" si="1"/>
        <v>CS Stairs- inactive</v>
      </c>
      <c r="C34" s="2">
        <v>5000</v>
      </c>
      <c r="D34" s="60">
        <v>0</v>
      </c>
      <c r="E34" s="2">
        <v>0</v>
      </c>
      <c r="F34" s="60">
        <v>0.05</v>
      </c>
      <c r="G34" s="2">
        <v>250</v>
      </c>
      <c r="H34" s="2" t="s">
        <v>1312</v>
      </c>
      <c r="I34" s="60">
        <v>0.57999999999999996</v>
      </c>
      <c r="K34" s="89" t="s">
        <v>863</v>
      </c>
      <c r="L34" s="88" t="s">
        <v>1334</v>
      </c>
    </row>
    <row r="35" spans="1:13">
      <c r="A35" s="288"/>
      <c r="B35" t="str">
        <f t="shared" si="1"/>
        <v>CS Washing</v>
      </c>
      <c r="C35" s="2">
        <v>200</v>
      </c>
      <c r="D35" s="60">
        <v>2</v>
      </c>
      <c r="E35" s="2">
        <v>215</v>
      </c>
      <c r="F35" s="60">
        <v>0.125</v>
      </c>
      <c r="G35" s="2">
        <v>25</v>
      </c>
      <c r="H35" s="2" t="s">
        <v>1312</v>
      </c>
      <c r="I35" s="60">
        <v>1.28</v>
      </c>
      <c r="K35" s="89" t="s">
        <v>863</v>
      </c>
      <c r="L35" s="88" t="s">
        <v>1335</v>
      </c>
    </row>
    <row r="36" spans="1:13">
      <c r="A36" s="285" t="s">
        <v>1305</v>
      </c>
      <c r="B36" t="str">
        <f>K36&amp;" "&amp;L36&amp;" "&amp;M36</f>
        <v>SS Civil Services Courtroom</v>
      </c>
      <c r="C36" s="2">
        <v>75</v>
      </c>
      <c r="D36" s="60">
        <v>0.25</v>
      </c>
      <c r="E36" s="2">
        <v>100</v>
      </c>
      <c r="F36" s="60">
        <v>0.2</v>
      </c>
      <c r="G36" s="2">
        <v>15</v>
      </c>
      <c r="H36" s="2" t="s">
        <v>1106</v>
      </c>
      <c r="I36" s="60">
        <v>1.98</v>
      </c>
      <c r="K36" s="89" t="s">
        <v>914</v>
      </c>
      <c r="L36" s="88" t="s">
        <v>1336</v>
      </c>
      <c r="M36" s="88" t="s">
        <v>882</v>
      </c>
    </row>
    <row r="37" spans="1:13">
      <c r="A37" s="286"/>
      <c r="B37" t="str">
        <f t="shared" ref="B37:B100" si="2">K37&amp;" "&amp;L37&amp;" "&amp;M37</f>
        <v>SS Civil Services Fire engine room</v>
      </c>
      <c r="C37" s="2">
        <v>250</v>
      </c>
      <c r="D37" s="60">
        <v>0.25</v>
      </c>
      <c r="E37" s="2">
        <v>1110</v>
      </c>
      <c r="F37" s="60">
        <v>0.08</v>
      </c>
      <c r="G37" s="2">
        <v>20</v>
      </c>
      <c r="H37" s="2" t="s">
        <v>1104</v>
      </c>
      <c r="I37" s="60">
        <v>0.83</v>
      </c>
      <c r="K37" s="89" t="s">
        <v>914</v>
      </c>
      <c r="L37" s="88" t="s">
        <v>1336</v>
      </c>
      <c r="M37" s="88" t="s">
        <v>1337</v>
      </c>
    </row>
    <row r="38" spans="1:13">
      <c r="A38" s="286"/>
      <c r="B38" t="str">
        <f t="shared" si="2"/>
        <v>SS Civil Services Jail/peniten. living area</v>
      </c>
      <c r="C38" s="2">
        <v>250</v>
      </c>
      <c r="D38" s="60">
        <v>0.25</v>
      </c>
      <c r="E38" s="2">
        <v>1110</v>
      </c>
      <c r="F38" s="60">
        <v>0.08</v>
      </c>
      <c r="G38" s="2">
        <v>20</v>
      </c>
      <c r="H38" s="2" t="s">
        <v>1104</v>
      </c>
      <c r="I38" s="60">
        <v>0.96</v>
      </c>
      <c r="K38" s="89" t="s">
        <v>914</v>
      </c>
      <c r="L38" s="88" t="s">
        <v>1336</v>
      </c>
      <c r="M38" s="88" t="s">
        <v>1338</v>
      </c>
    </row>
    <row r="39" spans="1:13">
      <c r="A39" s="286"/>
      <c r="B39" t="str">
        <f t="shared" si="2"/>
        <v>SS Civil Services Police laboratory</v>
      </c>
      <c r="C39" s="2">
        <v>200</v>
      </c>
      <c r="D39" s="60">
        <v>1</v>
      </c>
      <c r="E39" s="2">
        <v>600</v>
      </c>
      <c r="F39" s="60">
        <v>0.15</v>
      </c>
      <c r="G39" s="2">
        <v>30</v>
      </c>
      <c r="H39" s="2" t="s">
        <v>1104</v>
      </c>
      <c r="I39" s="60">
        <v>1.64</v>
      </c>
      <c r="K39" s="89" t="s">
        <v>914</v>
      </c>
      <c r="L39" s="88" t="s">
        <v>1336</v>
      </c>
      <c r="M39" s="88" t="s">
        <v>1339</v>
      </c>
    </row>
    <row r="40" spans="1:13">
      <c r="A40" s="286"/>
      <c r="B40" t="str">
        <f t="shared" si="2"/>
        <v>SS Civil Services Post office sorting areas</v>
      </c>
      <c r="C40" s="2">
        <v>200</v>
      </c>
      <c r="D40" s="60">
        <v>0.75</v>
      </c>
      <c r="E40" s="2">
        <v>300</v>
      </c>
      <c r="F40" s="60">
        <v>0.1</v>
      </c>
      <c r="G40" s="2">
        <v>20</v>
      </c>
      <c r="H40" s="2" t="s">
        <v>1106</v>
      </c>
      <c r="I40" s="60">
        <v>0.78</v>
      </c>
      <c r="K40" s="89" t="s">
        <v>914</v>
      </c>
      <c r="L40" s="88" t="s">
        <v>1336</v>
      </c>
      <c r="M40" s="88" t="s">
        <v>1340</v>
      </c>
    </row>
    <row r="41" spans="1:13">
      <c r="A41" s="286"/>
      <c r="B41" t="str">
        <f t="shared" si="2"/>
        <v>SS Education Classroom</v>
      </c>
      <c r="C41" s="2">
        <v>75</v>
      </c>
      <c r="D41" s="60">
        <v>0.5</v>
      </c>
      <c r="E41" s="2">
        <v>215</v>
      </c>
      <c r="F41" s="60">
        <v>0.2</v>
      </c>
      <c r="G41" s="2">
        <v>15</v>
      </c>
      <c r="H41" s="2" t="s">
        <v>25</v>
      </c>
      <c r="I41" s="60">
        <v>1.45</v>
      </c>
      <c r="K41" s="89" t="s">
        <v>914</v>
      </c>
      <c r="L41" s="88" t="s">
        <v>1174</v>
      </c>
      <c r="M41" s="88" t="s">
        <v>1341</v>
      </c>
    </row>
    <row r="42" spans="1:13">
      <c r="A42" s="286"/>
      <c r="B42" t="str">
        <f t="shared" si="2"/>
        <v>SS Education Dressing/lockers</v>
      </c>
      <c r="C42" s="2">
        <v>100</v>
      </c>
      <c r="D42" s="60">
        <v>0.25</v>
      </c>
      <c r="E42" s="2">
        <v>0</v>
      </c>
      <c r="F42" s="60">
        <v>0.5</v>
      </c>
      <c r="G42" s="2">
        <v>50</v>
      </c>
      <c r="H42" s="2" t="s">
        <v>1115</v>
      </c>
      <c r="I42" s="60">
        <v>0.91</v>
      </c>
      <c r="K42" s="89" t="s">
        <v>914</v>
      </c>
      <c r="L42" s="88" t="s">
        <v>1174</v>
      </c>
      <c r="M42" s="88" t="s">
        <v>1342</v>
      </c>
    </row>
    <row r="43" spans="1:13">
      <c r="A43" s="286"/>
      <c r="B43" t="str">
        <f t="shared" si="2"/>
        <v>SS Education Laboratory</v>
      </c>
      <c r="C43" s="2">
        <v>100</v>
      </c>
      <c r="D43" s="60">
        <v>0.5</v>
      </c>
      <c r="E43" s="2">
        <v>600</v>
      </c>
      <c r="F43" s="60">
        <v>0.2</v>
      </c>
      <c r="G43" s="2">
        <v>20</v>
      </c>
      <c r="H43" s="2" t="s">
        <v>25</v>
      </c>
      <c r="I43" s="60">
        <v>1.64</v>
      </c>
      <c r="K43" s="89" t="s">
        <v>914</v>
      </c>
      <c r="L43" s="88" t="s">
        <v>1174</v>
      </c>
      <c r="M43" s="88" t="s">
        <v>892</v>
      </c>
    </row>
    <row r="44" spans="1:13">
      <c r="A44" s="286"/>
      <c r="B44" t="str">
        <f t="shared" si="2"/>
        <v>SS Education Study hall</v>
      </c>
      <c r="C44" s="2">
        <v>250</v>
      </c>
      <c r="D44" s="60">
        <v>0.25</v>
      </c>
      <c r="E44" s="2">
        <v>300</v>
      </c>
      <c r="F44" s="60">
        <v>0.06</v>
      </c>
      <c r="G44" s="2">
        <v>15</v>
      </c>
      <c r="H44" s="2" t="s">
        <v>1115</v>
      </c>
      <c r="I44" s="60">
        <v>1.45</v>
      </c>
      <c r="K44" s="89" t="s">
        <v>914</v>
      </c>
      <c r="L44" s="88" t="s">
        <v>1174</v>
      </c>
      <c r="M44" s="88" t="s">
        <v>1343</v>
      </c>
    </row>
    <row r="45" spans="1:13">
      <c r="A45" s="286"/>
      <c r="B45" t="str">
        <f t="shared" si="2"/>
        <v>SS Exhibition Hall Exhibit space</v>
      </c>
      <c r="C45" s="2">
        <v>50</v>
      </c>
      <c r="D45" s="60">
        <v>0.25</v>
      </c>
      <c r="E45" s="2">
        <v>100</v>
      </c>
      <c r="F45" s="60">
        <v>0.3</v>
      </c>
      <c r="G45" s="2">
        <v>15</v>
      </c>
      <c r="H45" s="2" t="s">
        <v>1113</v>
      </c>
      <c r="I45" s="60" t="s">
        <v>1344</v>
      </c>
      <c r="K45" s="89" t="s">
        <v>914</v>
      </c>
      <c r="L45" s="88" t="s">
        <v>1345</v>
      </c>
      <c r="M45" s="88" t="s">
        <v>1346</v>
      </c>
    </row>
    <row r="46" spans="1:13">
      <c r="A46" s="286"/>
      <c r="B46" t="str">
        <f t="shared" si="2"/>
        <v>SS Food Bar/lounge</v>
      </c>
      <c r="C46" s="2">
        <v>100</v>
      </c>
      <c r="D46" s="60">
        <v>0.1</v>
      </c>
      <c r="E46" s="2">
        <v>300</v>
      </c>
      <c r="F46" s="60">
        <v>0.3</v>
      </c>
      <c r="G46" s="2">
        <v>30</v>
      </c>
      <c r="H46" s="2" t="s">
        <v>1107</v>
      </c>
      <c r="I46" s="60">
        <v>1.85</v>
      </c>
      <c r="K46" s="89" t="s">
        <v>914</v>
      </c>
      <c r="L46" s="88" t="s">
        <v>1347</v>
      </c>
      <c r="M46" s="88" t="s">
        <v>1348</v>
      </c>
    </row>
    <row r="47" spans="1:13">
      <c r="A47" s="286"/>
      <c r="B47" t="str">
        <f t="shared" si="2"/>
        <v>SS Food Cafeteria/fast food</v>
      </c>
      <c r="C47" s="2">
        <v>100</v>
      </c>
      <c r="D47" s="60">
        <v>0.1</v>
      </c>
      <c r="E47" s="2">
        <v>400</v>
      </c>
      <c r="F47" s="60">
        <v>0.2</v>
      </c>
      <c r="G47" s="2">
        <v>20</v>
      </c>
      <c r="H47" s="2" t="s">
        <v>1107</v>
      </c>
      <c r="I47" s="60">
        <v>1.31</v>
      </c>
      <c r="K47" s="89" t="s">
        <v>914</v>
      </c>
      <c r="L47" s="88" t="s">
        <v>1347</v>
      </c>
      <c r="M47" s="88" t="s">
        <v>1349</v>
      </c>
    </row>
    <row r="48" spans="1:13">
      <c r="A48" s="286"/>
      <c r="B48" t="str">
        <f t="shared" si="2"/>
        <v>SS Food Family dining</v>
      </c>
      <c r="C48" s="2">
        <v>100</v>
      </c>
      <c r="D48" s="60">
        <v>0.1</v>
      </c>
      <c r="E48" s="2">
        <v>300</v>
      </c>
      <c r="F48" s="60">
        <v>0.2</v>
      </c>
      <c r="G48" s="2">
        <v>20</v>
      </c>
      <c r="H48" s="2" t="s">
        <v>1107</v>
      </c>
      <c r="I48" s="60">
        <v>1.85</v>
      </c>
      <c r="K48" s="89" t="s">
        <v>914</v>
      </c>
      <c r="L48" s="88" t="s">
        <v>1347</v>
      </c>
      <c r="M48" s="88" t="s">
        <v>1350</v>
      </c>
    </row>
    <row r="49" spans="1:13">
      <c r="A49" s="286"/>
      <c r="B49" t="str">
        <f t="shared" si="2"/>
        <v>SS Food Leisure dining</v>
      </c>
      <c r="C49" s="2">
        <v>100</v>
      </c>
      <c r="D49" s="60">
        <v>0.1</v>
      </c>
      <c r="E49" s="2">
        <v>300</v>
      </c>
      <c r="F49" s="60">
        <v>0.2</v>
      </c>
      <c r="G49" s="2">
        <v>20</v>
      </c>
      <c r="H49" s="2" t="s">
        <v>1107</v>
      </c>
      <c r="I49" s="60">
        <v>1.85</v>
      </c>
      <c r="K49" s="89" t="s">
        <v>914</v>
      </c>
      <c r="L49" s="88" t="s">
        <v>1347</v>
      </c>
      <c r="M49" s="88" t="s">
        <v>1351</v>
      </c>
    </row>
    <row r="50" spans="1:13">
      <c r="A50" s="286"/>
      <c r="B50" t="str">
        <f t="shared" si="2"/>
        <v>SS Garage Parking garage</v>
      </c>
      <c r="C50" s="56" t="s">
        <v>1352</v>
      </c>
      <c r="H50" s="2" t="s">
        <v>1104</v>
      </c>
      <c r="I50" s="60">
        <v>0.26</v>
      </c>
      <c r="K50" s="89" t="s">
        <v>914</v>
      </c>
      <c r="L50" s="88" t="s">
        <v>1353</v>
      </c>
      <c r="M50" s="88" t="s">
        <v>1016</v>
      </c>
    </row>
    <row r="51" spans="1:13">
      <c r="A51" s="286"/>
      <c r="B51" t="str">
        <f t="shared" si="2"/>
        <v>SS General Dormitory</v>
      </c>
      <c r="C51" s="2">
        <v>250</v>
      </c>
      <c r="D51" s="60">
        <v>0.25</v>
      </c>
      <c r="E51" s="2">
        <v>1700</v>
      </c>
      <c r="F51" s="60">
        <v>0.06</v>
      </c>
      <c r="G51" s="2">
        <v>15</v>
      </c>
      <c r="H51" s="2" t="s">
        <v>1115</v>
      </c>
      <c r="I51" s="60">
        <v>1.73</v>
      </c>
      <c r="K51" s="89" t="s">
        <v>914</v>
      </c>
      <c r="L51" s="88" t="s">
        <v>964</v>
      </c>
      <c r="M51" s="88" t="s">
        <v>44</v>
      </c>
    </row>
    <row r="52" spans="1:13">
      <c r="A52" s="286"/>
      <c r="B52" t="str">
        <f t="shared" si="2"/>
        <v>SS General Guest rooms</v>
      </c>
      <c r="C52" s="2">
        <v>250</v>
      </c>
      <c r="D52" s="60">
        <v>0.25</v>
      </c>
      <c r="E52" s="2">
        <v>2000</v>
      </c>
      <c r="F52" s="60">
        <v>0.12</v>
      </c>
      <c r="G52" s="2">
        <v>30</v>
      </c>
      <c r="H52" s="2" t="s">
        <v>1110</v>
      </c>
      <c r="I52" s="60">
        <v>1.46</v>
      </c>
      <c r="K52" s="89" t="s">
        <v>914</v>
      </c>
      <c r="L52" s="88" t="s">
        <v>964</v>
      </c>
      <c r="M52" s="88" t="s">
        <v>1354</v>
      </c>
    </row>
    <row r="53" spans="1:13">
      <c r="A53" s="286"/>
      <c r="B53" t="str">
        <f t="shared" si="2"/>
        <v>SS General Recep./waiting/prefunc.</v>
      </c>
      <c r="C53" s="2">
        <v>100</v>
      </c>
      <c r="D53" s="60">
        <v>0.25</v>
      </c>
      <c r="E53" s="2">
        <v>200</v>
      </c>
      <c r="F53" s="60">
        <v>0.15</v>
      </c>
      <c r="G53" s="2">
        <v>15</v>
      </c>
      <c r="H53" s="2" t="s">
        <v>1113</v>
      </c>
      <c r="I53" s="60">
        <v>0.89</v>
      </c>
      <c r="K53" s="89" t="s">
        <v>914</v>
      </c>
      <c r="L53" s="88" t="s">
        <v>964</v>
      </c>
      <c r="M53" s="88" t="s">
        <v>1355</v>
      </c>
    </row>
    <row r="54" spans="1:13">
      <c r="A54" s="286"/>
      <c r="B54" t="str">
        <f t="shared" si="2"/>
        <v>SS Health Corridors- Health</v>
      </c>
      <c r="C54" s="2">
        <v>100</v>
      </c>
      <c r="D54" s="60">
        <v>0.1</v>
      </c>
      <c r="E54" s="2">
        <v>0</v>
      </c>
      <c r="F54" s="60">
        <v>0.2</v>
      </c>
      <c r="G54" s="2">
        <v>20</v>
      </c>
      <c r="H54" s="2" t="s">
        <v>1104</v>
      </c>
      <c r="I54" s="60">
        <v>0.92</v>
      </c>
      <c r="K54" s="89" t="s">
        <v>914</v>
      </c>
      <c r="L54" s="88" t="s">
        <v>508</v>
      </c>
      <c r="M54" s="88" t="s">
        <v>1356</v>
      </c>
    </row>
    <row r="55" spans="1:13">
      <c r="A55" s="286"/>
      <c r="B55" t="str">
        <f t="shared" si="2"/>
        <v>SS Health Examination</v>
      </c>
      <c r="C55" s="2">
        <v>200</v>
      </c>
      <c r="D55" s="60">
        <v>1</v>
      </c>
      <c r="E55" s="2">
        <v>300</v>
      </c>
      <c r="F55" s="60">
        <v>7.4999999999999997E-2</v>
      </c>
      <c r="G55" s="2">
        <v>15</v>
      </c>
      <c r="H55" s="2" t="s">
        <v>1113</v>
      </c>
      <c r="I55" s="60">
        <v>2.4700000000000002</v>
      </c>
      <c r="K55" s="89" t="s">
        <v>914</v>
      </c>
      <c r="L55" s="88" t="s">
        <v>508</v>
      </c>
      <c r="M55" s="88" t="s">
        <v>1357</v>
      </c>
    </row>
    <row r="56" spans="1:13">
      <c r="A56" s="286"/>
      <c r="B56" t="str">
        <f t="shared" si="2"/>
        <v>SS Health Laboratory</v>
      </c>
      <c r="C56" s="2">
        <v>200</v>
      </c>
      <c r="D56" s="60">
        <v>1</v>
      </c>
      <c r="E56" s="2">
        <v>600</v>
      </c>
      <c r="F56" s="60">
        <v>0.15</v>
      </c>
      <c r="G56" s="2">
        <v>30</v>
      </c>
      <c r="H56" s="2" t="s">
        <v>1104</v>
      </c>
      <c r="I56" s="60">
        <v>3.19</v>
      </c>
      <c r="K56" s="89" t="s">
        <v>914</v>
      </c>
      <c r="L56" s="88" t="s">
        <v>508</v>
      </c>
      <c r="M56" s="88" t="s">
        <v>892</v>
      </c>
    </row>
    <row r="57" spans="1:13">
      <c r="A57" s="286"/>
      <c r="B57" t="str">
        <f t="shared" si="2"/>
        <v>SS Health Medical supplies</v>
      </c>
      <c r="C57" s="2">
        <v>200</v>
      </c>
      <c r="D57" s="60">
        <v>0.1</v>
      </c>
      <c r="E57" s="2">
        <v>0</v>
      </c>
      <c r="F57" s="60">
        <v>0.15</v>
      </c>
      <c r="G57" s="2">
        <v>30</v>
      </c>
      <c r="H57" s="2" t="s">
        <v>1104</v>
      </c>
      <c r="I57" s="60">
        <v>2.41</v>
      </c>
      <c r="K57" s="89" t="s">
        <v>914</v>
      </c>
      <c r="L57" s="88" t="s">
        <v>508</v>
      </c>
      <c r="M57" s="88" t="s">
        <v>1358</v>
      </c>
    </row>
    <row r="58" spans="1:13">
      <c r="A58" s="286"/>
      <c r="B58" t="str">
        <f t="shared" si="2"/>
        <v>SS Health Nurse station/Pharmacy</v>
      </c>
      <c r="C58" s="2">
        <v>200</v>
      </c>
      <c r="D58" s="60">
        <v>0.25</v>
      </c>
      <c r="E58" s="2">
        <v>150</v>
      </c>
      <c r="F58" s="60">
        <v>7.4999999999999997E-2</v>
      </c>
      <c r="G58" s="2">
        <v>15</v>
      </c>
      <c r="H58" s="2" t="s">
        <v>1104</v>
      </c>
      <c r="I58" s="60">
        <v>2.09</v>
      </c>
      <c r="K58" s="89" t="s">
        <v>914</v>
      </c>
      <c r="L58" s="88" t="s">
        <v>508</v>
      </c>
      <c r="M58" s="88" t="s">
        <v>1359</v>
      </c>
    </row>
    <row r="59" spans="1:13">
      <c r="A59" s="286"/>
      <c r="B59" t="str">
        <f t="shared" si="2"/>
        <v>SS Health Patient rooms/nursery</v>
      </c>
      <c r="C59" s="2">
        <v>200</v>
      </c>
      <c r="D59" s="60">
        <v>1</v>
      </c>
      <c r="E59" s="2">
        <v>300</v>
      </c>
      <c r="F59" s="60">
        <v>0.125</v>
      </c>
      <c r="G59" s="2">
        <v>25</v>
      </c>
      <c r="H59" s="2" t="s">
        <v>1104</v>
      </c>
      <c r="I59" s="60">
        <v>1.34</v>
      </c>
      <c r="K59" s="89" t="s">
        <v>914</v>
      </c>
      <c r="L59" s="88" t="s">
        <v>508</v>
      </c>
      <c r="M59" s="88" t="s">
        <v>1360</v>
      </c>
    </row>
    <row r="60" spans="1:13">
      <c r="A60" s="286"/>
      <c r="B60" t="str">
        <f t="shared" si="2"/>
        <v>SS Health Reception/waiting</v>
      </c>
      <c r="C60" s="2">
        <v>100</v>
      </c>
      <c r="D60" s="60">
        <v>0.1</v>
      </c>
      <c r="E60" s="2">
        <v>0</v>
      </c>
      <c r="F60" s="60">
        <v>0.2</v>
      </c>
      <c r="G60" s="2">
        <v>20</v>
      </c>
      <c r="H60" s="2" t="s">
        <v>1104</v>
      </c>
      <c r="I60" s="60">
        <v>1.0900000000000001</v>
      </c>
      <c r="K60" s="89" t="s">
        <v>914</v>
      </c>
      <c r="L60" s="88" t="s">
        <v>508</v>
      </c>
      <c r="M60" s="88" t="s">
        <v>1332</v>
      </c>
    </row>
    <row r="61" spans="1:13">
      <c r="A61" s="286"/>
      <c r="B61" t="str">
        <f t="shared" si="2"/>
        <v>SS Health Recovery</v>
      </c>
      <c r="C61" s="2">
        <v>200</v>
      </c>
      <c r="D61" s="60">
        <v>1</v>
      </c>
      <c r="E61" s="2">
        <v>600</v>
      </c>
      <c r="F61" s="60">
        <v>7.4999999999999997E-2</v>
      </c>
      <c r="G61" s="2">
        <v>15</v>
      </c>
      <c r="H61" s="2" t="s">
        <v>1104</v>
      </c>
      <c r="I61" s="60">
        <v>2.41</v>
      </c>
      <c r="K61" s="89" t="s">
        <v>914</v>
      </c>
      <c r="L61" s="88" t="s">
        <v>508</v>
      </c>
      <c r="M61" s="88" t="s">
        <v>1052</v>
      </c>
    </row>
    <row r="62" spans="1:13">
      <c r="A62" s="286"/>
      <c r="B62" t="str">
        <f t="shared" si="2"/>
        <v>SS Health Surgery/emergency/OB</v>
      </c>
      <c r="C62" s="2">
        <v>200</v>
      </c>
      <c r="D62" s="60">
        <v>1</v>
      </c>
      <c r="E62" s="2">
        <v>1000</v>
      </c>
      <c r="F62" s="60">
        <v>0.15</v>
      </c>
      <c r="G62" s="2">
        <v>30</v>
      </c>
      <c r="H62" s="2" t="s">
        <v>1104</v>
      </c>
      <c r="I62" s="60">
        <v>3.19</v>
      </c>
      <c r="K62" s="89" t="s">
        <v>914</v>
      </c>
      <c r="L62" s="88" t="s">
        <v>508</v>
      </c>
      <c r="M62" s="88" t="s">
        <v>1361</v>
      </c>
    </row>
    <row r="63" spans="1:13">
      <c r="A63" s="286"/>
      <c r="B63" t="str">
        <f t="shared" si="2"/>
        <v>SS Health Therapy</v>
      </c>
      <c r="C63" s="2">
        <v>200</v>
      </c>
      <c r="D63" s="60">
        <v>1</v>
      </c>
      <c r="E63" s="2">
        <v>150</v>
      </c>
      <c r="F63" s="60">
        <v>0.125</v>
      </c>
      <c r="G63" s="2">
        <v>25</v>
      </c>
      <c r="H63" s="2" t="s">
        <v>1113</v>
      </c>
      <c r="I63" s="60">
        <v>2.09</v>
      </c>
      <c r="K63" s="89" t="s">
        <v>914</v>
      </c>
      <c r="L63" s="88" t="s">
        <v>508</v>
      </c>
      <c r="M63" s="88" t="s">
        <v>1362</v>
      </c>
    </row>
    <row r="64" spans="1:13">
      <c r="A64" s="286"/>
      <c r="B64" t="str">
        <f t="shared" si="2"/>
        <v>SS Hotels Banquet</v>
      </c>
      <c r="C64" s="2">
        <v>100</v>
      </c>
      <c r="D64" s="60">
        <v>0.1</v>
      </c>
      <c r="E64" s="2">
        <v>300</v>
      </c>
      <c r="F64" s="60">
        <v>0.15</v>
      </c>
      <c r="G64" s="2">
        <v>15</v>
      </c>
      <c r="H64" s="2" t="s">
        <v>1107</v>
      </c>
      <c r="I64" s="60">
        <v>2.09</v>
      </c>
      <c r="K64" s="89" t="s">
        <v>914</v>
      </c>
      <c r="L64" s="88" t="s">
        <v>1363</v>
      </c>
      <c r="M64" s="88" t="s">
        <v>1364</v>
      </c>
    </row>
    <row r="65" spans="1:13">
      <c r="A65" s="286"/>
      <c r="B65" t="str">
        <f t="shared" si="2"/>
        <v>SS Hotels Dining- Hotel</v>
      </c>
      <c r="C65" s="2">
        <v>100</v>
      </c>
      <c r="D65" s="60">
        <v>0.25</v>
      </c>
      <c r="E65" s="2">
        <v>300</v>
      </c>
      <c r="F65" s="60">
        <v>0.15</v>
      </c>
      <c r="G65" s="2">
        <v>14</v>
      </c>
      <c r="H65" s="2" t="s">
        <v>1107</v>
      </c>
      <c r="I65" s="60">
        <v>2.09</v>
      </c>
      <c r="K65" s="89" t="s">
        <v>914</v>
      </c>
      <c r="L65" s="88" t="s">
        <v>1363</v>
      </c>
      <c r="M65" s="88" t="s">
        <v>1365</v>
      </c>
    </row>
    <row r="66" spans="1:13">
      <c r="A66" s="286"/>
      <c r="B66" t="str">
        <f t="shared" si="2"/>
        <v>SS Hotels Lobby-Hotel</v>
      </c>
      <c r="C66" s="2">
        <v>100</v>
      </c>
      <c r="D66" s="60">
        <v>0.25</v>
      </c>
      <c r="E66" s="2">
        <v>100</v>
      </c>
      <c r="F66" s="60">
        <v>0.15</v>
      </c>
      <c r="G66" s="2">
        <v>15</v>
      </c>
      <c r="H66" s="2" t="s">
        <v>1104</v>
      </c>
      <c r="I66" s="60">
        <v>1.27</v>
      </c>
      <c r="K66" s="89" t="s">
        <v>914</v>
      </c>
      <c r="L66" s="88" t="s">
        <v>1363</v>
      </c>
      <c r="M66" s="88" t="s">
        <v>1366</v>
      </c>
    </row>
    <row r="67" spans="1:13">
      <c r="A67" s="286"/>
      <c r="B67" t="str">
        <f t="shared" si="2"/>
        <v>SS Library Card file/cataloging</v>
      </c>
      <c r="C67" s="2">
        <v>200</v>
      </c>
      <c r="D67" s="60">
        <v>0.25</v>
      </c>
      <c r="E67" s="2">
        <v>300</v>
      </c>
      <c r="F67" s="60">
        <v>7.4999999999999997E-2</v>
      </c>
      <c r="G67" s="2">
        <v>15</v>
      </c>
      <c r="H67" s="2" t="s">
        <v>1113</v>
      </c>
      <c r="I67" s="60" t="s">
        <v>1367</v>
      </c>
      <c r="K67" s="89" t="s">
        <v>914</v>
      </c>
      <c r="L67" s="88" t="s">
        <v>59</v>
      </c>
      <c r="M67" s="88" t="s">
        <v>1368</v>
      </c>
    </row>
    <row r="68" spans="1:13">
      <c r="A68" s="286"/>
      <c r="B68" t="str">
        <f t="shared" si="2"/>
        <v>SS Library Reading area</v>
      </c>
      <c r="C68" s="2">
        <v>200</v>
      </c>
      <c r="D68" s="60">
        <v>0.25</v>
      </c>
      <c r="E68" s="2">
        <v>300</v>
      </c>
      <c r="F68" s="60">
        <v>7.4999999999999997E-2</v>
      </c>
      <c r="G68" s="2">
        <v>15</v>
      </c>
      <c r="H68" s="2" t="s">
        <v>1113</v>
      </c>
      <c r="I68" s="60">
        <v>1.67</v>
      </c>
      <c r="K68" s="89" t="s">
        <v>914</v>
      </c>
      <c r="L68" s="88" t="s">
        <v>59</v>
      </c>
      <c r="M68" s="88" t="s">
        <v>1369</v>
      </c>
    </row>
    <row r="69" spans="1:13">
      <c r="A69" s="286"/>
      <c r="B69" t="str">
        <f t="shared" si="2"/>
        <v>SS Library Stacks</v>
      </c>
      <c r="C69" s="2">
        <v>200</v>
      </c>
      <c r="D69" s="60">
        <v>0.25</v>
      </c>
      <c r="E69" s="2">
        <v>300</v>
      </c>
      <c r="F69" s="60">
        <v>7.4999999999999997E-2</v>
      </c>
      <c r="G69" s="2">
        <v>15</v>
      </c>
      <c r="H69" s="2" t="s">
        <v>1113</v>
      </c>
      <c r="I69" s="60">
        <v>1.78</v>
      </c>
      <c r="K69" s="89" t="s">
        <v>914</v>
      </c>
      <c r="L69" s="88" t="s">
        <v>59</v>
      </c>
      <c r="M69" s="88" t="s">
        <v>1049</v>
      </c>
    </row>
    <row r="70" spans="1:13">
      <c r="A70" s="286"/>
      <c r="B70" t="str">
        <f t="shared" si="2"/>
        <v>SS Manufacture Control room</v>
      </c>
      <c r="C70" s="2">
        <v>17500</v>
      </c>
      <c r="D70" s="60">
        <v>0</v>
      </c>
      <c r="E70" s="2">
        <v>1000</v>
      </c>
      <c r="F70" s="60">
        <v>0.05</v>
      </c>
      <c r="G70" s="2">
        <v>875</v>
      </c>
      <c r="H70" s="2" t="s">
        <v>1113</v>
      </c>
      <c r="I70" s="60">
        <v>1.97</v>
      </c>
      <c r="K70" s="89" t="s">
        <v>914</v>
      </c>
      <c r="L70" s="88" t="s">
        <v>1370</v>
      </c>
      <c r="M70" s="88" t="s">
        <v>1371</v>
      </c>
    </row>
    <row r="71" spans="1:13">
      <c r="A71" s="286"/>
      <c r="B71" t="str">
        <f t="shared" si="2"/>
        <v>SS Manufacture Electronic/detail</v>
      </c>
      <c r="C71" s="2">
        <v>300</v>
      </c>
      <c r="D71" s="60">
        <v>1</v>
      </c>
      <c r="E71" s="2">
        <v>175</v>
      </c>
      <c r="F71" s="60">
        <v>0.25</v>
      </c>
      <c r="G71" s="2">
        <v>75</v>
      </c>
      <c r="H71" s="2" t="s">
        <v>1113</v>
      </c>
      <c r="I71" s="60">
        <v>2.92</v>
      </c>
      <c r="K71" s="89" t="s">
        <v>914</v>
      </c>
      <c r="L71" s="88" t="s">
        <v>1370</v>
      </c>
      <c r="M71" s="88" t="s">
        <v>1372</v>
      </c>
    </row>
    <row r="72" spans="1:13">
      <c r="A72" s="286"/>
      <c r="B72" t="str">
        <f t="shared" si="2"/>
        <v>SS Manufacture Equipment room</v>
      </c>
      <c r="C72" s="2">
        <v>17500</v>
      </c>
      <c r="D72" s="60">
        <v>0</v>
      </c>
      <c r="E72" s="2">
        <v>1000</v>
      </c>
      <c r="F72" s="60">
        <v>0.05</v>
      </c>
      <c r="G72" s="2">
        <v>875</v>
      </c>
      <c r="H72" s="2" t="s">
        <v>1113</v>
      </c>
      <c r="I72" s="60">
        <v>0.87</v>
      </c>
      <c r="K72" s="89" t="s">
        <v>914</v>
      </c>
      <c r="L72" s="88" t="s">
        <v>1370</v>
      </c>
      <c r="M72" s="88" t="s">
        <v>1373</v>
      </c>
    </row>
    <row r="73" spans="1:13">
      <c r="A73" s="286"/>
      <c r="B73" t="str">
        <f t="shared" si="2"/>
        <v>SS Manufacture General manufacturing</v>
      </c>
      <c r="C73" s="2">
        <v>300</v>
      </c>
      <c r="D73" s="60">
        <v>1</v>
      </c>
      <c r="E73" s="2">
        <v>175</v>
      </c>
      <c r="F73" s="60">
        <v>0.25</v>
      </c>
      <c r="G73" s="2">
        <v>75</v>
      </c>
      <c r="H73" s="2" t="s">
        <v>1113</v>
      </c>
      <c r="I73" s="60">
        <v>2.66</v>
      </c>
      <c r="K73" s="89" t="s">
        <v>914</v>
      </c>
      <c r="L73" s="88" t="s">
        <v>1370</v>
      </c>
      <c r="M73" s="88" t="s">
        <v>1374</v>
      </c>
    </row>
    <row r="74" spans="1:13">
      <c r="A74" s="286"/>
      <c r="B74" t="str">
        <f t="shared" si="2"/>
        <v>SS Manufacture General workshop</v>
      </c>
      <c r="C74" s="2">
        <v>300</v>
      </c>
      <c r="D74" s="60">
        <v>1</v>
      </c>
      <c r="E74" s="2">
        <v>175</v>
      </c>
      <c r="F74" s="60">
        <v>0.5</v>
      </c>
      <c r="G74" s="2">
        <v>150</v>
      </c>
      <c r="H74" s="2" t="s">
        <v>1113</v>
      </c>
      <c r="I74" s="60">
        <v>2.83</v>
      </c>
      <c r="K74" s="89" t="s">
        <v>914</v>
      </c>
      <c r="L74" s="88" t="s">
        <v>1370</v>
      </c>
      <c r="M74" s="88" t="s">
        <v>1375</v>
      </c>
    </row>
    <row r="75" spans="1:13">
      <c r="A75" s="286"/>
      <c r="B75" t="str">
        <f t="shared" si="2"/>
        <v>SS Manufacture Painting/welding</v>
      </c>
      <c r="C75" s="2">
        <v>300</v>
      </c>
      <c r="D75" s="60">
        <v>1</v>
      </c>
      <c r="E75" s="2">
        <v>300</v>
      </c>
      <c r="F75" s="60">
        <v>1</v>
      </c>
      <c r="G75" s="2">
        <v>300</v>
      </c>
      <c r="H75" s="2" t="s">
        <v>1113</v>
      </c>
      <c r="I75" s="60">
        <v>2.66</v>
      </c>
      <c r="K75" s="89" t="s">
        <v>914</v>
      </c>
      <c r="L75" s="88" t="s">
        <v>1370</v>
      </c>
      <c r="M75" s="88" t="s">
        <v>1376</v>
      </c>
    </row>
    <row r="76" spans="1:13">
      <c r="A76" s="286"/>
      <c r="B76" t="str">
        <f t="shared" si="2"/>
        <v>SS Motels Dining- Motel</v>
      </c>
      <c r="C76" s="2">
        <v>100</v>
      </c>
      <c r="D76" s="60">
        <v>0.25</v>
      </c>
      <c r="E76" s="2">
        <v>300</v>
      </c>
      <c r="F76" s="60">
        <v>0.15</v>
      </c>
      <c r="G76" s="2">
        <v>15</v>
      </c>
      <c r="H76" s="2" t="s">
        <v>1107</v>
      </c>
      <c r="I76" s="60">
        <v>1.85</v>
      </c>
      <c r="K76" s="89" t="s">
        <v>914</v>
      </c>
      <c r="L76" s="88" t="s">
        <v>1377</v>
      </c>
      <c r="M76" s="88" t="s">
        <v>1378</v>
      </c>
    </row>
    <row r="77" spans="1:13">
      <c r="A77" s="286"/>
      <c r="B77" t="str">
        <f t="shared" si="2"/>
        <v>SS Motels Lobby- Motel</v>
      </c>
      <c r="C77" s="2">
        <v>100</v>
      </c>
      <c r="D77" s="60">
        <v>0.25</v>
      </c>
      <c r="E77" s="2">
        <v>100</v>
      </c>
      <c r="F77" s="60">
        <v>0.15</v>
      </c>
      <c r="G77" s="2">
        <v>15</v>
      </c>
      <c r="H77" s="2" t="s">
        <v>1104</v>
      </c>
      <c r="I77" s="60">
        <v>1.77</v>
      </c>
      <c r="K77" s="89" t="s">
        <v>914</v>
      </c>
      <c r="L77" s="88" t="s">
        <v>1377</v>
      </c>
      <c r="M77" s="88" t="s">
        <v>1379</v>
      </c>
    </row>
    <row r="78" spans="1:13">
      <c r="A78" s="286"/>
      <c r="B78" t="str">
        <f t="shared" si="2"/>
        <v>SS Museum General exhibition</v>
      </c>
      <c r="C78" s="2">
        <v>50</v>
      </c>
      <c r="D78" s="60">
        <v>0.25</v>
      </c>
      <c r="E78" s="2">
        <v>215</v>
      </c>
      <c r="F78" s="60">
        <v>0.3</v>
      </c>
      <c r="G78" s="2">
        <v>15</v>
      </c>
      <c r="H78" s="2" t="s">
        <v>1113</v>
      </c>
      <c r="I78" s="60">
        <v>1.03</v>
      </c>
      <c r="K78" s="89" t="s">
        <v>914</v>
      </c>
      <c r="L78" s="88" t="s">
        <v>532</v>
      </c>
      <c r="M78" s="88" t="s">
        <v>1380</v>
      </c>
    </row>
    <row r="79" spans="1:13">
      <c r="A79" s="286"/>
      <c r="B79" t="str">
        <f t="shared" si="2"/>
        <v>SS Museum Restoration</v>
      </c>
      <c r="C79" s="2">
        <v>200</v>
      </c>
      <c r="D79" s="60">
        <v>0.5</v>
      </c>
      <c r="E79" s="2">
        <v>175</v>
      </c>
      <c r="F79" s="60">
        <v>0.1</v>
      </c>
      <c r="G79" s="2">
        <v>20</v>
      </c>
      <c r="H79" s="2" t="s">
        <v>1106</v>
      </c>
      <c r="I79" s="60">
        <v>2.14</v>
      </c>
      <c r="K79" s="89" t="s">
        <v>914</v>
      </c>
      <c r="L79" s="88" t="s">
        <v>532</v>
      </c>
      <c r="M79" s="88" t="s">
        <v>1071</v>
      </c>
    </row>
    <row r="80" spans="1:13">
      <c r="A80" s="286"/>
      <c r="B80" t="str">
        <f t="shared" si="2"/>
        <v>SS Museum Storage (artifacts)- active</v>
      </c>
      <c r="C80" s="2">
        <v>1000</v>
      </c>
      <c r="D80" s="60">
        <v>0.1</v>
      </c>
      <c r="E80" s="2">
        <v>225</v>
      </c>
      <c r="F80" s="60">
        <v>0.05</v>
      </c>
      <c r="G80" s="2">
        <v>50</v>
      </c>
      <c r="H80" s="2" t="s">
        <v>1108</v>
      </c>
      <c r="I80" s="60">
        <v>0.81</v>
      </c>
      <c r="K80" s="89" t="s">
        <v>914</v>
      </c>
      <c r="L80" s="88" t="s">
        <v>532</v>
      </c>
      <c r="M80" s="88" t="s">
        <v>1381</v>
      </c>
    </row>
    <row r="81" spans="1:13">
      <c r="A81" s="286"/>
      <c r="B81" t="str">
        <f t="shared" si="2"/>
        <v>SS Museum Storage (artifacts)- inactive</v>
      </c>
      <c r="C81" s="2">
        <v>10000</v>
      </c>
      <c r="D81" s="60">
        <v>0</v>
      </c>
      <c r="E81" s="2">
        <v>225</v>
      </c>
      <c r="F81" s="60">
        <v>0.05</v>
      </c>
      <c r="G81" s="2">
        <v>500</v>
      </c>
      <c r="H81" s="2" t="s">
        <v>1108</v>
      </c>
      <c r="I81" s="60">
        <v>1.19</v>
      </c>
      <c r="K81" s="89" t="s">
        <v>914</v>
      </c>
      <c r="L81" s="88" t="s">
        <v>532</v>
      </c>
      <c r="M81" s="88" t="s">
        <v>1382</v>
      </c>
    </row>
    <row r="82" spans="1:13">
      <c r="A82" s="286"/>
      <c r="B82" t="str">
        <f t="shared" si="2"/>
        <v>SS Religious Worship- congregation</v>
      </c>
      <c r="C82" s="2">
        <v>50</v>
      </c>
      <c r="D82" s="60">
        <v>0.1</v>
      </c>
      <c r="E82" s="2">
        <v>50</v>
      </c>
      <c r="F82" s="60">
        <v>0.3</v>
      </c>
      <c r="G82" s="2">
        <v>15</v>
      </c>
      <c r="H82" s="2" t="s">
        <v>1109</v>
      </c>
      <c r="I82" s="60" t="s">
        <v>1383</v>
      </c>
      <c r="K82" s="89" t="s">
        <v>914</v>
      </c>
      <c r="L82" s="88" t="s">
        <v>1384</v>
      </c>
      <c r="M82" s="88" t="s">
        <v>1385</v>
      </c>
    </row>
    <row r="83" spans="1:13">
      <c r="A83" s="286"/>
      <c r="B83" t="str">
        <f t="shared" si="2"/>
        <v>SS Religious Worship- pulpit, choir</v>
      </c>
      <c r="C83" s="2">
        <v>50</v>
      </c>
      <c r="D83" s="60">
        <v>0.1</v>
      </c>
      <c r="E83" s="2">
        <v>50</v>
      </c>
      <c r="F83" s="60">
        <v>0.3</v>
      </c>
      <c r="G83" s="2">
        <v>15</v>
      </c>
      <c r="H83" s="2" t="s">
        <v>1109</v>
      </c>
      <c r="I83" s="60">
        <v>5.46</v>
      </c>
      <c r="K83" s="89" t="s">
        <v>914</v>
      </c>
      <c r="L83" s="88" t="s">
        <v>1384</v>
      </c>
      <c r="M83" s="88" t="s">
        <v>1386</v>
      </c>
    </row>
    <row r="84" spans="1:13">
      <c r="A84" s="286"/>
      <c r="B84" t="str">
        <f t="shared" si="2"/>
        <v>SS Retail Department store</v>
      </c>
      <c r="C84" s="2">
        <v>300</v>
      </c>
      <c r="D84" s="60">
        <v>0.25</v>
      </c>
      <c r="E84" s="2">
        <v>135</v>
      </c>
      <c r="F84" s="60">
        <v>0.2</v>
      </c>
      <c r="G84" s="2">
        <v>60</v>
      </c>
      <c r="H84" s="2" t="s">
        <v>1113</v>
      </c>
      <c r="I84" s="60">
        <v>3.53</v>
      </c>
      <c r="K84" s="89" t="s">
        <v>914</v>
      </c>
      <c r="L84" s="90" t="s">
        <v>68</v>
      </c>
      <c r="M84" s="88" t="s">
        <v>1387</v>
      </c>
    </row>
    <row r="85" spans="1:13">
      <c r="A85" s="286"/>
      <c r="B85" t="str">
        <f t="shared" si="2"/>
        <v>SS Retail Dressing/fitting rooms</v>
      </c>
      <c r="C85" s="2">
        <v>300</v>
      </c>
      <c r="D85" s="60">
        <v>0</v>
      </c>
      <c r="E85" s="2">
        <v>135</v>
      </c>
      <c r="F85" s="60">
        <v>0.05</v>
      </c>
      <c r="G85" s="2">
        <v>15</v>
      </c>
      <c r="H85" s="2" t="s">
        <v>1113</v>
      </c>
      <c r="I85" s="60">
        <v>2.5499999999999998</v>
      </c>
      <c r="K85" s="89" t="s">
        <v>914</v>
      </c>
      <c r="L85" s="90" t="s">
        <v>68</v>
      </c>
      <c r="M85" s="88" t="s">
        <v>1388</v>
      </c>
    </row>
    <row r="86" spans="1:13">
      <c r="A86" s="286"/>
      <c r="B86" t="str">
        <f t="shared" si="2"/>
        <v>SS Retail Fine merchandise</v>
      </c>
      <c r="C86" s="2">
        <v>300</v>
      </c>
      <c r="D86" s="60">
        <v>0.25</v>
      </c>
      <c r="E86" s="2">
        <v>135</v>
      </c>
      <c r="F86" s="60">
        <v>0.2</v>
      </c>
      <c r="G86" s="2">
        <v>60</v>
      </c>
      <c r="H86" s="2" t="s">
        <v>1113</v>
      </c>
      <c r="I86" s="60">
        <v>5.68</v>
      </c>
      <c r="K86" s="89" t="s">
        <v>914</v>
      </c>
      <c r="L86" s="90" t="s">
        <v>68</v>
      </c>
      <c r="M86" s="88" t="s">
        <v>1389</v>
      </c>
    </row>
    <row r="87" spans="1:13">
      <c r="A87" s="286"/>
      <c r="B87" t="str">
        <f t="shared" si="2"/>
        <v>SS Retail Mall concourse</v>
      </c>
      <c r="C87" s="2">
        <v>200</v>
      </c>
      <c r="D87" s="60">
        <v>0</v>
      </c>
      <c r="E87" s="2">
        <v>215</v>
      </c>
      <c r="F87" s="60">
        <v>0.1</v>
      </c>
      <c r="G87" s="2">
        <v>20</v>
      </c>
      <c r="H87" s="2" t="s">
        <v>1113</v>
      </c>
      <c r="I87" s="60">
        <v>1.74</v>
      </c>
      <c r="K87" s="89" t="s">
        <v>914</v>
      </c>
      <c r="L87" s="90" t="s">
        <v>68</v>
      </c>
      <c r="M87" s="88" t="s">
        <v>1390</v>
      </c>
    </row>
    <row r="88" spans="1:13">
      <c r="A88" s="286"/>
      <c r="B88" t="str">
        <f t="shared" si="2"/>
        <v>SS Retail Mass merchandising</v>
      </c>
      <c r="C88" s="2">
        <v>300</v>
      </c>
      <c r="D88" s="60">
        <v>0.25</v>
      </c>
      <c r="E88" s="2">
        <v>135</v>
      </c>
      <c r="F88" s="60">
        <v>0.2</v>
      </c>
      <c r="G88" s="2">
        <v>60</v>
      </c>
      <c r="H88" s="2" t="s">
        <v>1113</v>
      </c>
      <c r="I88" s="60">
        <v>1.23</v>
      </c>
      <c r="K88" s="89" t="s">
        <v>914</v>
      </c>
      <c r="L88" s="90" t="s">
        <v>68</v>
      </c>
      <c r="M88" s="88" t="s">
        <v>1391</v>
      </c>
    </row>
    <row r="89" spans="1:13">
      <c r="A89" s="286"/>
      <c r="B89" t="str">
        <f t="shared" si="2"/>
        <v>SS Retail Personal services</v>
      </c>
      <c r="C89" s="2">
        <v>300</v>
      </c>
      <c r="D89" s="60">
        <v>0.25</v>
      </c>
      <c r="E89" s="2">
        <v>135</v>
      </c>
      <c r="F89" s="60">
        <v>0.2</v>
      </c>
      <c r="G89" s="2">
        <v>60</v>
      </c>
      <c r="H89" s="2" t="s">
        <v>1113</v>
      </c>
      <c r="I89" s="60">
        <v>1.28</v>
      </c>
      <c r="K89" s="89" t="s">
        <v>914</v>
      </c>
      <c r="L89" s="90" t="s">
        <v>68</v>
      </c>
      <c r="M89" s="88" t="s">
        <v>1392</v>
      </c>
    </row>
    <row r="90" spans="1:13">
      <c r="A90" s="286"/>
      <c r="B90" t="str">
        <f t="shared" si="2"/>
        <v>SS Retail Specialty store</v>
      </c>
      <c r="C90" s="2">
        <v>300</v>
      </c>
      <c r="D90" s="60">
        <v>0.25</v>
      </c>
      <c r="E90" s="2">
        <v>135</v>
      </c>
      <c r="F90" s="60">
        <v>0.2</v>
      </c>
      <c r="G90" s="2">
        <v>60</v>
      </c>
      <c r="H90" s="2" t="s">
        <v>1113</v>
      </c>
      <c r="I90" s="60">
        <v>2.68</v>
      </c>
      <c r="K90" s="89" t="s">
        <v>914</v>
      </c>
      <c r="L90" s="90" t="s">
        <v>68</v>
      </c>
      <c r="M90" s="88" t="s">
        <v>1393</v>
      </c>
    </row>
    <row r="91" spans="1:13">
      <c r="A91" s="286"/>
      <c r="B91" t="str">
        <f t="shared" si="2"/>
        <v>SS Retail Supermarket</v>
      </c>
      <c r="C91" s="2">
        <v>300</v>
      </c>
      <c r="D91" s="60">
        <v>0.25</v>
      </c>
      <c r="E91" s="2">
        <v>135</v>
      </c>
      <c r="F91" s="60">
        <v>0.2</v>
      </c>
      <c r="G91" s="2">
        <v>60</v>
      </c>
      <c r="H91" s="2" t="s">
        <v>1113</v>
      </c>
      <c r="I91" s="60">
        <v>2.25</v>
      </c>
      <c r="K91" s="89" t="s">
        <v>914</v>
      </c>
      <c r="L91" s="90" t="s">
        <v>68</v>
      </c>
      <c r="M91" s="88" t="s">
        <v>1394</v>
      </c>
    </row>
    <row r="92" spans="1:13">
      <c r="A92" s="286"/>
      <c r="B92" t="str">
        <f t="shared" si="2"/>
        <v>SS Sports Boxing/wrestling ring</v>
      </c>
      <c r="C92" s="2">
        <v>50</v>
      </c>
      <c r="D92" s="60">
        <v>0.15</v>
      </c>
      <c r="E92" s="2">
        <v>200</v>
      </c>
      <c r="F92" s="60">
        <v>0.4</v>
      </c>
      <c r="G92" s="2">
        <v>20</v>
      </c>
      <c r="H92" s="2" t="s">
        <v>1109</v>
      </c>
      <c r="I92" s="60">
        <v>7.51</v>
      </c>
      <c r="K92" s="89" t="s">
        <v>914</v>
      </c>
      <c r="L92" s="90" t="s">
        <v>1395</v>
      </c>
      <c r="M92" s="88" t="s">
        <v>1396</v>
      </c>
    </row>
    <row r="93" spans="1:13">
      <c r="A93" s="286"/>
      <c r="B93" t="str">
        <f t="shared" si="2"/>
        <v>SS Sports Boxing/wrestling ring</v>
      </c>
      <c r="C93" s="2">
        <v>50</v>
      </c>
      <c r="D93" s="60">
        <v>0.1</v>
      </c>
      <c r="E93" s="2">
        <v>300</v>
      </c>
      <c r="F93" s="60">
        <v>0.4</v>
      </c>
      <c r="G93" s="2">
        <v>20</v>
      </c>
      <c r="H93" s="2" t="s">
        <v>1109</v>
      </c>
      <c r="I93" s="60">
        <v>3.76</v>
      </c>
      <c r="K93" s="89" t="s">
        <v>914</v>
      </c>
      <c r="L93" s="90" t="s">
        <v>1395</v>
      </c>
      <c r="M93" s="88" t="s">
        <v>1396</v>
      </c>
    </row>
    <row r="94" spans="1:13">
      <c r="A94" s="286"/>
      <c r="B94" t="str">
        <f t="shared" si="2"/>
        <v>SS Sports Exercise area</v>
      </c>
      <c r="C94" s="2">
        <v>50</v>
      </c>
      <c r="D94" s="60">
        <v>0.1</v>
      </c>
      <c r="E94" s="2">
        <v>300</v>
      </c>
      <c r="F94" s="60">
        <v>0.4</v>
      </c>
      <c r="G94" s="2">
        <v>20</v>
      </c>
      <c r="H94" s="2" t="s">
        <v>1109</v>
      </c>
      <c r="I94" s="60">
        <v>1.1299999999999999</v>
      </c>
      <c r="K94" s="89" t="s">
        <v>914</v>
      </c>
      <c r="L94" s="90" t="s">
        <v>1395</v>
      </c>
      <c r="M94" s="88" t="s">
        <v>1397</v>
      </c>
    </row>
    <row r="95" spans="1:13">
      <c r="A95" s="286"/>
      <c r="B95" t="str">
        <f t="shared" si="2"/>
        <v>SS Sports Gymnasium playing area</v>
      </c>
      <c r="C95" s="2">
        <v>50</v>
      </c>
      <c r="D95" s="60">
        <v>0.1</v>
      </c>
      <c r="E95" s="2">
        <v>300</v>
      </c>
      <c r="F95" s="60">
        <v>0.4</v>
      </c>
      <c r="G95" s="2">
        <v>20</v>
      </c>
      <c r="H95" s="2" t="s">
        <v>1109</v>
      </c>
      <c r="I95" s="60">
        <v>1.88</v>
      </c>
      <c r="K95" s="89" t="s">
        <v>914</v>
      </c>
      <c r="L95" s="90" t="s">
        <v>1395</v>
      </c>
      <c r="M95" s="88" t="s">
        <v>1398</v>
      </c>
    </row>
    <row r="96" spans="1:13">
      <c r="A96" s="286"/>
      <c r="B96" t="str">
        <f t="shared" si="2"/>
        <v>SS Sports Indoor athletics seating</v>
      </c>
      <c r="C96" s="2">
        <v>50</v>
      </c>
      <c r="D96" s="60">
        <v>0</v>
      </c>
      <c r="E96" s="2">
        <v>100</v>
      </c>
      <c r="F96" s="60">
        <v>0.3</v>
      </c>
      <c r="G96" s="2">
        <v>15</v>
      </c>
      <c r="H96" s="2" t="s">
        <v>1109</v>
      </c>
      <c r="I96" s="60">
        <v>0.3</v>
      </c>
      <c r="K96" s="89" t="s">
        <v>914</v>
      </c>
      <c r="L96" s="88" t="s">
        <v>1395</v>
      </c>
      <c r="M96" s="88" t="s">
        <v>1399</v>
      </c>
    </row>
    <row r="97" spans="1:13">
      <c r="A97" s="286"/>
      <c r="B97" t="str">
        <f t="shared" si="2"/>
        <v>SS Sports Jai-alai/tennis/hockey</v>
      </c>
      <c r="C97" s="2">
        <v>50</v>
      </c>
      <c r="D97" s="60">
        <v>0.15</v>
      </c>
      <c r="E97" s="2">
        <v>200</v>
      </c>
      <c r="F97" s="60">
        <v>0.4</v>
      </c>
      <c r="G97" s="2">
        <v>20</v>
      </c>
      <c r="H97" s="2" t="s">
        <v>1109</v>
      </c>
      <c r="I97" s="60">
        <v>5.32</v>
      </c>
      <c r="K97" s="89" t="s">
        <v>914</v>
      </c>
      <c r="L97" s="90" t="s">
        <v>1395</v>
      </c>
      <c r="M97" s="88" t="s">
        <v>1400</v>
      </c>
    </row>
    <row r="98" spans="1:13">
      <c r="A98" s="286"/>
      <c r="B98" t="str">
        <f t="shared" si="2"/>
        <v>SS Sports Locker room/shower</v>
      </c>
      <c r="C98" s="2">
        <v>100</v>
      </c>
      <c r="D98" s="60">
        <v>0.25</v>
      </c>
      <c r="E98" s="2">
        <v>0</v>
      </c>
      <c r="F98" s="60">
        <v>0.5</v>
      </c>
      <c r="G98" s="2">
        <v>50</v>
      </c>
      <c r="H98" s="2" t="s">
        <v>1109</v>
      </c>
      <c r="I98" s="60">
        <v>0.91</v>
      </c>
      <c r="K98" s="89" t="s">
        <v>914</v>
      </c>
      <c r="L98" s="88" t="s">
        <v>1395</v>
      </c>
      <c r="M98" s="88" t="s">
        <v>1401</v>
      </c>
    </row>
    <row r="99" spans="1:13">
      <c r="A99" s="286"/>
      <c r="B99" t="str">
        <f t="shared" si="2"/>
        <v>SS Sports Other/televised play. area</v>
      </c>
      <c r="C99" s="2">
        <v>50</v>
      </c>
      <c r="D99" s="60">
        <v>0.15</v>
      </c>
      <c r="E99" s="2">
        <v>200</v>
      </c>
      <c r="F99" s="60">
        <v>0.4</v>
      </c>
      <c r="G99" s="2">
        <v>20</v>
      </c>
      <c r="H99" s="2" t="s">
        <v>1109</v>
      </c>
      <c r="I99" s="60">
        <v>3.76</v>
      </c>
      <c r="K99" s="89" t="s">
        <v>914</v>
      </c>
      <c r="L99" s="90" t="s">
        <v>1395</v>
      </c>
      <c r="M99" s="88" t="s">
        <v>1402</v>
      </c>
    </row>
    <row r="100" spans="1:13">
      <c r="A100" s="286"/>
      <c r="B100" t="str">
        <f t="shared" si="2"/>
        <v>SS Theater Auditorium seating area</v>
      </c>
      <c r="C100" s="2">
        <v>50</v>
      </c>
      <c r="D100" s="60">
        <v>0.25</v>
      </c>
      <c r="E100" s="2">
        <v>100</v>
      </c>
      <c r="F100" s="60">
        <v>0.3</v>
      </c>
      <c r="G100" s="2">
        <v>15</v>
      </c>
      <c r="H100" s="2" t="s">
        <v>1113</v>
      </c>
      <c r="I100" s="60">
        <v>1.62</v>
      </c>
      <c r="K100" s="89" t="s">
        <v>914</v>
      </c>
      <c r="L100" s="90" t="s">
        <v>1403</v>
      </c>
      <c r="M100" s="88" t="s">
        <v>1404</v>
      </c>
    </row>
    <row r="101" spans="1:13">
      <c r="A101" s="286"/>
      <c r="B101" t="str">
        <f t="shared" ref="B101:B113" si="3">K101&amp;" "&amp;L101&amp;" "&amp;M101</f>
        <v>SS Theater Dressing rooms</v>
      </c>
      <c r="C101" s="2">
        <v>100</v>
      </c>
      <c r="D101" s="60">
        <v>0.25</v>
      </c>
      <c r="E101" s="2">
        <v>0</v>
      </c>
      <c r="F101" s="60">
        <v>0.5</v>
      </c>
      <c r="G101" s="2">
        <v>50</v>
      </c>
      <c r="H101" s="2" t="s">
        <v>1312</v>
      </c>
      <c r="I101" s="60">
        <v>2.5499999999999998</v>
      </c>
      <c r="K101" s="89" t="s">
        <v>914</v>
      </c>
      <c r="L101" s="90" t="s">
        <v>1403</v>
      </c>
      <c r="M101" s="88" t="s">
        <v>1405</v>
      </c>
    </row>
    <row r="102" spans="1:13">
      <c r="A102" s="286"/>
      <c r="B102" t="str">
        <f t="shared" si="3"/>
        <v>SS Theater Lobby - other theaters</v>
      </c>
      <c r="C102" s="2">
        <v>100</v>
      </c>
      <c r="D102" s="60">
        <v>0.1</v>
      </c>
      <c r="E102" s="2">
        <v>0</v>
      </c>
      <c r="F102" s="60">
        <v>0.2</v>
      </c>
      <c r="G102" s="2">
        <v>20</v>
      </c>
      <c r="H102" s="2" t="s">
        <v>1113</v>
      </c>
      <c r="I102" s="60">
        <v>0.78</v>
      </c>
      <c r="K102" s="89" t="s">
        <v>914</v>
      </c>
      <c r="L102" s="90" t="s">
        <v>1403</v>
      </c>
      <c r="M102" s="88" t="s">
        <v>1406</v>
      </c>
    </row>
    <row r="103" spans="1:13">
      <c r="A103" s="286"/>
      <c r="B103" t="str">
        <f t="shared" si="3"/>
        <v>SS Theater Lobby - Performing Arts</v>
      </c>
      <c r="C103" s="2">
        <v>100</v>
      </c>
      <c r="D103" s="60">
        <v>0.1</v>
      </c>
      <c r="E103" s="2">
        <v>0</v>
      </c>
      <c r="F103" s="60">
        <v>0.2</v>
      </c>
      <c r="G103" s="2">
        <v>20</v>
      </c>
      <c r="H103" s="2" t="s">
        <v>1113</v>
      </c>
      <c r="I103" s="60">
        <v>1.99</v>
      </c>
      <c r="K103" s="89" t="s">
        <v>914</v>
      </c>
      <c r="L103" s="90" t="s">
        <v>1403</v>
      </c>
      <c r="M103" s="88" t="s">
        <v>1407</v>
      </c>
    </row>
    <row r="104" spans="1:13">
      <c r="A104" s="286"/>
      <c r="B104" t="str">
        <f t="shared" si="3"/>
        <v>SS Theater Motion picture seating</v>
      </c>
      <c r="C104" s="2">
        <v>50</v>
      </c>
      <c r="D104" s="60">
        <v>0.25</v>
      </c>
      <c r="E104" s="2">
        <v>100</v>
      </c>
      <c r="F104" s="60">
        <v>0.3</v>
      </c>
      <c r="G104" s="2">
        <v>15</v>
      </c>
      <c r="H104" s="2" t="s">
        <v>1109</v>
      </c>
      <c r="I104" s="60">
        <v>1.02</v>
      </c>
      <c r="K104" s="89" t="s">
        <v>914</v>
      </c>
      <c r="L104" s="90" t="s">
        <v>1403</v>
      </c>
      <c r="M104" s="88" t="s">
        <v>1408</v>
      </c>
    </row>
    <row r="105" spans="1:13">
      <c r="A105" s="286"/>
      <c r="B105" t="str">
        <f t="shared" si="3"/>
        <v>SS Theater Performing arts seating</v>
      </c>
      <c r="C105" s="2">
        <v>75</v>
      </c>
      <c r="D105" s="60">
        <v>0.25</v>
      </c>
      <c r="E105" s="2">
        <v>100</v>
      </c>
      <c r="F105" s="60">
        <v>0.2</v>
      </c>
      <c r="G105" s="2">
        <v>15</v>
      </c>
      <c r="H105" s="2" t="s">
        <v>1109</v>
      </c>
      <c r="I105" s="60">
        <v>2</v>
      </c>
      <c r="K105" s="89" t="s">
        <v>914</v>
      </c>
      <c r="L105" s="90" t="s">
        <v>1403</v>
      </c>
      <c r="M105" s="88" t="s">
        <v>1409</v>
      </c>
    </row>
    <row r="106" spans="1:13">
      <c r="A106" s="286"/>
      <c r="B106" t="str">
        <f t="shared" si="3"/>
        <v>SS Transport Terminal- baggage</v>
      </c>
      <c r="C106" s="2">
        <v>200</v>
      </c>
      <c r="D106" s="60">
        <v>0.25</v>
      </c>
      <c r="E106" s="2">
        <v>215</v>
      </c>
      <c r="F106" s="60">
        <v>0.1</v>
      </c>
      <c r="G106" s="2">
        <v>20</v>
      </c>
      <c r="H106" s="2" t="s">
        <v>1104</v>
      </c>
      <c r="I106" s="60">
        <v>0.77</v>
      </c>
      <c r="K106" s="89" t="s">
        <v>914</v>
      </c>
      <c r="L106" s="88" t="s">
        <v>1410</v>
      </c>
      <c r="M106" s="88" t="s">
        <v>1411</v>
      </c>
    </row>
    <row r="107" spans="1:13">
      <c r="A107" s="286"/>
      <c r="B107" t="str">
        <f t="shared" si="3"/>
        <v>SS Transport Terminal- concourse</v>
      </c>
      <c r="C107" s="2">
        <v>200</v>
      </c>
      <c r="D107" s="60">
        <v>0</v>
      </c>
      <c r="E107" s="2">
        <v>215</v>
      </c>
      <c r="F107" s="60">
        <v>0.1</v>
      </c>
      <c r="G107" s="2">
        <v>20</v>
      </c>
      <c r="H107" s="2" t="s">
        <v>1104</v>
      </c>
      <c r="I107" s="60" t="s">
        <v>1412</v>
      </c>
      <c r="K107" s="89" t="s">
        <v>914</v>
      </c>
      <c r="L107" s="88" t="s">
        <v>1410</v>
      </c>
      <c r="M107" s="88" t="s">
        <v>1413</v>
      </c>
    </row>
    <row r="108" spans="1:13">
      <c r="A108" s="286"/>
      <c r="B108" t="str">
        <f t="shared" si="3"/>
        <v>SS Transport Terminal- dining area</v>
      </c>
      <c r="C108" s="2">
        <v>100</v>
      </c>
      <c r="D108" s="60">
        <v>0.1</v>
      </c>
      <c r="E108" s="2">
        <v>300</v>
      </c>
      <c r="F108" s="60">
        <v>0.2</v>
      </c>
      <c r="G108" s="2">
        <v>20</v>
      </c>
      <c r="H108" s="2" t="s">
        <v>1104</v>
      </c>
      <c r="I108" s="60">
        <v>1.85</v>
      </c>
      <c r="K108" s="89" t="s">
        <v>914</v>
      </c>
      <c r="L108" s="88" t="s">
        <v>1410</v>
      </c>
      <c r="M108" s="88" t="s">
        <v>1414</v>
      </c>
    </row>
    <row r="109" spans="1:13">
      <c r="A109" s="286"/>
      <c r="B109" t="str">
        <f t="shared" si="3"/>
        <v>SS Transport Terminal- ticket counter</v>
      </c>
      <c r="C109" s="2">
        <v>100</v>
      </c>
      <c r="D109" s="60">
        <v>0.25</v>
      </c>
      <c r="E109" s="2">
        <v>215</v>
      </c>
      <c r="F109" s="60">
        <v>0.2</v>
      </c>
      <c r="G109" s="2">
        <v>20</v>
      </c>
      <c r="H109" s="2" t="s">
        <v>1104</v>
      </c>
      <c r="I109" s="60">
        <v>1.61</v>
      </c>
      <c r="K109" s="89" t="s">
        <v>914</v>
      </c>
      <c r="L109" s="88" t="s">
        <v>1410</v>
      </c>
      <c r="M109" s="88" t="s">
        <v>1415</v>
      </c>
    </row>
    <row r="110" spans="1:13">
      <c r="A110" s="286"/>
      <c r="B110" t="str">
        <f t="shared" si="3"/>
        <v>SS Transport Terminal- waiting/lounge</v>
      </c>
      <c r="C110" s="2">
        <v>100</v>
      </c>
      <c r="D110" s="60">
        <v>0</v>
      </c>
      <c r="E110" s="2">
        <v>215</v>
      </c>
      <c r="F110" s="60">
        <v>0.2</v>
      </c>
      <c r="G110" s="2">
        <v>20</v>
      </c>
      <c r="H110" s="2" t="s">
        <v>1104</v>
      </c>
      <c r="I110" s="60">
        <v>0.9</v>
      </c>
      <c r="K110" s="89" t="s">
        <v>914</v>
      </c>
      <c r="L110" s="88" t="s">
        <v>1410</v>
      </c>
      <c r="M110" s="88" t="s">
        <v>1416</v>
      </c>
    </row>
    <row r="111" spans="1:13">
      <c r="A111" s="286"/>
      <c r="B111" t="str">
        <f t="shared" si="3"/>
        <v>SS Warehouse Fine material</v>
      </c>
      <c r="C111" s="2">
        <v>500</v>
      </c>
      <c r="D111" s="60">
        <v>0.1</v>
      </c>
      <c r="E111" s="2">
        <v>225</v>
      </c>
      <c r="F111" s="60">
        <v>0.05</v>
      </c>
      <c r="G111" s="2">
        <v>25</v>
      </c>
      <c r="H111" s="2" t="s">
        <v>1108</v>
      </c>
      <c r="I111" s="60">
        <v>1.72</v>
      </c>
      <c r="K111" s="89" t="s">
        <v>914</v>
      </c>
      <c r="L111" s="88" t="s">
        <v>82</v>
      </c>
      <c r="M111" s="88" t="s">
        <v>1417</v>
      </c>
    </row>
    <row r="112" spans="1:13">
      <c r="A112" s="286"/>
      <c r="B112" t="str">
        <f t="shared" si="3"/>
        <v>SS Warehouse Inactive stor./elec/mech</v>
      </c>
      <c r="C112" s="2">
        <v>17500</v>
      </c>
      <c r="D112" s="60">
        <v>0</v>
      </c>
      <c r="E112" s="2">
        <v>1000</v>
      </c>
      <c r="F112" s="60">
        <v>0.05</v>
      </c>
      <c r="G112" s="2">
        <v>875</v>
      </c>
      <c r="H112" s="2" t="s">
        <v>1108</v>
      </c>
      <c r="I112" s="60">
        <v>1.19</v>
      </c>
      <c r="K112" s="89" t="s">
        <v>914</v>
      </c>
      <c r="L112" s="88" t="s">
        <v>82</v>
      </c>
      <c r="M112" s="88" t="s">
        <v>1418</v>
      </c>
    </row>
    <row r="113" spans="1:13">
      <c r="A113" s="286"/>
      <c r="B113" t="str">
        <f t="shared" si="3"/>
        <v>SS Warehouse Medium/Bulky material</v>
      </c>
      <c r="C113" s="2">
        <v>1000</v>
      </c>
      <c r="D113" s="60">
        <v>0.1</v>
      </c>
      <c r="E113" s="2">
        <v>225</v>
      </c>
      <c r="F113" s="60">
        <v>0.05</v>
      </c>
      <c r="G113" s="2">
        <v>50</v>
      </c>
      <c r="H113" s="2" t="s">
        <v>1108</v>
      </c>
      <c r="I113" s="60">
        <v>1.19</v>
      </c>
      <c r="K113" s="89" t="s">
        <v>914</v>
      </c>
      <c r="L113" s="88" t="s">
        <v>82</v>
      </c>
      <c r="M113" s="88" t="s">
        <v>1419</v>
      </c>
    </row>
    <row r="114" spans="1:13">
      <c r="B114" s="27" t="s">
        <v>392</v>
      </c>
      <c r="C114" s="56" t="s">
        <v>34</v>
      </c>
      <c r="D114" s="56" t="s">
        <v>34</v>
      </c>
      <c r="E114" s="56" t="s">
        <v>34</v>
      </c>
      <c r="F114" s="56" t="s">
        <v>34</v>
      </c>
      <c r="G114" s="56" t="s">
        <v>34</v>
      </c>
      <c r="H114" s="56" t="s">
        <v>34</v>
      </c>
      <c r="I114" s="56" t="s">
        <v>34</v>
      </c>
    </row>
    <row r="115" spans="1:13">
      <c r="B115" s="27" t="s">
        <v>630</v>
      </c>
      <c r="C115" s="56" t="s">
        <v>34</v>
      </c>
      <c r="D115" s="56" t="s">
        <v>34</v>
      </c>
      <c r="E115" s="56" t="s">
        <v>34</v>
      </c>
      <c r="F115" s="56" t="s">
        <v>34</v>
      </c>
      <c r="G115" s="56" t="s">
        <v>34</v>
      </c>
      <c r="H115" s="56" t="s">
        <v>34</v>
      </c>
      <c r="I115" s="56" t="s">
        <v>34</v>
      </c>
    </row>
  </sheetData>
  <sortState xmlns:xlrd2="http://schemas.microsoft.com/office/spreadsheetml/2017/richdata2" ref="B14:M114">
    <sortCondition ref="L14:L114"/>
    <sortCondition ref="M14:M114"/>
  </sortState>
  <mergeCells count="3">
    <mergeCell ref="A3:A12"/>
    <mergeCell ref="A36:A113"/>
    <mergeCell ref="A13:A3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95"/>
  <sheetViews>
    <sheetView workbookViewId="0">
      <pane xSplit="3" ySplit="4" topLeftCell="D5" activePane="bottomRight" state="frozen"/>
      <selection pane="bottomRight" activeCell="K6" sqref="K6"/>
      <selection pane="bottomLeft" activeCell="A5" sqref="A5"/>
      <selection pane="topRight" activeCell="D1" sqref="D1"/>
    </sheetView>
  </sheetViews>
  <sheetFormatPr defaultRowHeight="12.75"/>
  <cols>
    <col min="1" max="2" width="4.5703125" style="27" customWidth="1"/>
    <col min="3" max="4" width="55.42578125" style="27" customWidth="1"/>
    <col min="5" max="5" width="15.85546875" style="56" customWidth="1"/>
    <col min="6" max="6" width="18.42578125" style="56" customWidth="1"/>
    <col min="7" max="7" width="15.5703125" style="56" customWidth="1"/>
    <col min="8" max="8" width="16" style="61" customWidth="1"/>
    <col min="9" max="9" width="17.5703125" style="56" customWidth="1"/>
    <col min="10" max="10" width="16.7109375" style="61" customWidth="1"/>
    <col min="11" max="11" width="15.28515625" style="61" customWidth="1"/>
    <col min="12" max="12" width="9.140625" style="54"/>
    <col min="13" max="16384" width="9.140625" style="27"/>
  </cols>
  <sheetData>
    <row r="1" spans="1:12">
      <c r="C1" s="27" t="s">
        <v>1420</v>
      </c>
      <c r="E1" s="65" t="s">
        <v>46</v>
      </c>
      <c r="F1" s="65" t="s">
        <v>64</v>
      </c>
      <c r="G1" s="65" t="s">
        <v>64</v>
      </c>
      <c r="H1" s="67" t="s">
        <v>96</v>
      </c>
      <c r="I1" s="65"/>
      <c r="J1" s="67" t="s">
        <v>1421</v>
      </c>
      <c r="K1" s="67" t="s">
        <v>1422</v>
      </c>
      <c r="L1" s="63"/>
    </row>
    <row r="2" spans="1:12">
      <c r="C2" s="27" t="s">
        <v>1423</v>
      </c>
      <c r="E2" s="56" t="s">
        <v>64</v>
      </c>
      <c r="F2" s="56" t="s">
        <v>96</v>
      </c>
      <c r="G2" s="56" t="s">
        <v>96</v>
      </c>
      <c r="H2" s="61" t="s">
        <v>1421</v>
      </c>
      <c r="J2" s="61" t="s">
        <v>1422</v>
      </c>
      <c r="K2" s="61" t="s">
        <v>1422</v>
      </c>
    </row>
    <row r="3" spans="1:12">
      <c r="E3" s="65" t="s">
        <v>1424</v>
      </c>
      <c r="F3" s="65" t="s">
        <v>1425</v>
      </c>
      <c r="G3" s="65" t="s">
        <v>1425</v>
      </c>
      <c r="H3" s="67" t="s">
        <v>956</v>
      </c>
      <c r="I3" s="65" t="s">
        <v>1426</v>
      </c>
      <c r="J3" s="67" t="s">
        <v>956</v>
      </c>
      <c r="K3" s="67" t="s">
        <v>1427</v>
      </c>
    </row>
    <row r="4" spans="1:12" s="45" customFormat="1" ht="38.25">
      <c r="B4" s="45" t="s">
        <v>1428</v>
      </c>
      <c r="C4" s="45" t="s">
        <v>1429</v>
      </c>
      <c r="D4" s="45" t="s">
        <v>853</v>
      </c>
      <c r="E4" s="125" t="s">
        <v>1430</v>
      </c>
      <c r="F4" s="125" t="s">
        <v>1431</v>
      </c>
      <c r="G4" s="125" t="s">
        <v>1432</v>
      </c>
      <c r="H4" s="126" t="s">
        <v>1433</v>
      </c>
      <c r="I4" s="125" t="s">
        <v>1434</v>
      </c>
      <c r="J4" s="126" t="s">
        <v>196</v>
      </c>
      <c r="K4" s="126" t="s">
        <v>200</v>
      </c>
      <c r="L4" s="127"/>
    </row>
    <row r="5" spans="1:12">
      <c r="A5" s="289" t="s">
        <v>1435</v>
      </c>
      <c r="B5" s="62" t="s">
        <v>858</v>
      </c>
      <c r="C5" s="62" t="s">
        <v>867</v>
      </c>
      <c r="D5" s="62" t="str">
        <f>B5&amp;" "&amp;C5</f>
        <v>BA Other</v>
      </c>
      <c r="E5" s="65">
        <v>10</v>
      </c>
      <c r="F5" s="65">
        <v>250</v>
      </c>
      <c r="G5" s="65">
        <v>200</v>
      </c>
      <c r="H5" s="67">
        <v>1</v>
      </c>
      <c r="I5" s="65">
        <v>120</v>
      </c>
      <c r="J5" s="67">
        <v>0.6</v>
      </c>
      <c r="K5" s="67">
        <v>0.15</v>
      </c>
      <c r="L5" s="63" t="s">
        <v>1436</v>
      </c>
    </row>
    <row r="6" spans="1:12">
      <c r="A6" s="290"/>
      <c r="B6" s="62" t="s">
        <v>858</v>
      </c>
      <c r="C6" s="62" t="s">
        <v>1437</v>
      </c>
      <c r="D6" s="62" t="str">
        <f t="shared" ref="D6:D68" si="0">B6&amp;" "&amp;C6</f>
        <v>BA Auditoriums</v>
      </c>
      <c r="E6" s="65">
        <v>143</v>
      </c>
      <c r="F6" s="65">
        <v>245</v>
      </c>
      <c r="G6" s="65">
        <v>105</v>
      </c>
      <c r="H6" s="67">
        <v>1</v>
      </c>
      <c r="I6" s="65">
        <v>60</v>
      </c>
      <c r="J6" s="67">
        <v>1.5</v>
      </c>
      <c r="K6" s="67">
        <v>1.07</v>
      </c>
    </row>
    <row r="7" spans="1:12">
      <c r="A7" s="290"/>
      <c r="B7" s="62" t="s">
        <v>858</v>
      </c>
      <c r="C7" s="62" t="s">
        <v>1438</v>
      </c>
      <c r="D7" s="62" t="str">
        <f t="shared" si="0"/>
        <v>BA Classroom Building</v>
      </c>
      <c r="E7" s="65">
        <v>40</v>
      </c>
      <c r="F7" s="65">
        <v>246</v>
      </c>
      <c r="G7" s="65">
        <v>171</v>
      </c>
      <c r="H7" s="67">
        <v>1</v>
      </c>
      <c r="I7" s="65">
        <v>108</v>
      </c>
      <c r="J7" s="67">
        <v>1.1000000000000001</v>
      </c>
      <c r="K7" s="67">
        <v>0.32</v>
      </c>
    </row>
    <row r="8" spans="1:12">
      <c r="A8" s="290"/>
      <c r="B8" s="62" t="s">
        <v>858</v>
      </c>
      <c r="C8" s="62" t="s">
        <v>1439</v>
      </c>
      <c r="D8" s="62" t="str">
        <f t="shared" si="0"/>
        <v>BA Commercial and Industrial Building</v>
      </c>
      <c r="E8" s="65">
        <v>5</v>
      </c>
      <c r="F8" s="65">
        <v>268</v>
      </c>
      <c r="G8" s="65">
        <v>403</v>
      </c>
      <c r="H8" s="67">
        <v>0.43</v>
      </c>
      <c r="I8" s="65">
        <v>108</v>
      </c>
      <c r="J8" s="67">
        <v>0.6</v>
      </c>
      <c r="K8" s="67">
        <v>0.15</v>
      </c>
    </row>
    <row r="9" spans="1:12">
      <c r="A9" s="290"/>
      <c r="B9" s="62" t="s">
        <v>858</v>
      </c>
      <c r="C9" s="62" t="s">
        <v>1440</v>
      </c>
      <c r="D9" s="62" t="str">
        <f t="shared" si="0"/>
        <v>BA Convention Centers</v>
      </c>
      <c r="E9" s="65">
        <v>136</v>
      </c>
      <c r="F9" s="65">
        <v>245</v>
      </c>
      <c r="G9" s="65">
        <v>112</v>
      </c>
      <c r="H9" s="67">
        <v>0.96</v>
      </c>
      <c r="I9" s="65">
        <v>57</v>
      </c>
      <c r="J9" s="67">
        <v>1.2</v>
      </c>
      <c r="K9" s="67">
        <v>1.02</v>
      </c>
      <c r="L9" s="63" t="s">
        <v>1436</v>
      </c>
    </row>
    <row r="10" spans="1:12">
      <c r="A10" s="290"/>
      <c r="B10" s="62" t="s">
        <v>858</v>
      </c>
      <c r="C10" s="62" t="s">
        <v>1441</v>
      </c>
      <c r="D10" s="62" t="str">
        <f t="shared" si="0"/>
        <v>BA Financial Institutions</v>
      </c>
      <c r="E10" s="65">
        <v>10</v>
      </c>
      <c r="F10" s="65">
        <v>250</v>
      </c>
      <c r="G10" s="65">
        <v>250</v>
      </c>
      <c r="H10" s="67">
        <v>1.5</v>
      </c>
      <c r="I10" s="65">
        <v>120</v>
      </c>
      <c r="J10" s="67">
        <v>1.1000000000000001</v>
      </c>
      <c r="K10" s="67">
        <v>0.15</v>
      </c>
    </row>
    <row r="11" spans="1:12">
      <c r="A11" s="290"/>
      <c r="B11" s="62" t="s">
        <v>858</v>
      </c>
      <c r="C11" s="62" t="s">
        <v>1442</v>
      </c>
      <c r="D11" s="62" t="str">
        <f t="shared" si="0"/>
        <v>BA General Commercial and Industrial Work Buildings, High Bay</v>
      </c>
      <c r="E11" s="65">
        <v>7</v>
      </c>
      <c r="F11" s="65">
        <v>375</v>
      </c>
      <c r="G11" s="65">
        <v>625</v>
      </c>
      <c r="H11" s="67">
        <v>1</v>
      </c>
      <c r="I11" s="65">
        <v>120</v>
      </c>
      <c r="J11" s="67">
        <v>1</v>
      </c>
      <c r="K11" s="67">
        <v>0.15</v>
      </c>
    </row>
    <row r="12" spans="1:12">
      <c r="A12" s="290"/>
      <c r="B12" s="62" t="s">
        <v>858</v>
      </c>
      <c r="C12" s="62" t="s">
        <v>1443</v>
      </c>
      <c r="D12" s="62" t="str">
        <f t="shared" si="0"/>
        <v>BA General Commercial and Industrial Work Buildings, Low Bay</v>
      </c>
      <c r="E12" s="65">
        <v>7</v>
      </c>
      <c r="F12" s="65">
        <v>375</v>
      </c>
      <c r="G12" s="65">
        <v>625</v>
      </c>
      <c r="H12" s="67">
        <v>1</v>
      </c>
      <c r="I12" s="65">
        <v>120</v>
      </c>
      <c r="J12" s="67">
        <v>1</v>
      </c>
      <c r="K12" s="67">
        <v>0.15</v>
      </c>
    </row>
    <row r="13" spans="1:12">
      <c r="A13" s="290"/>
      <c r="B13" s="62" t="s">
        <v>858</v>
      </c>
      <c r="C13" s="62" t="s">
        <v>1444</v>
      </c>
      <c r="D13" s="62" t="str">
        <f t="shared" si="0"/>
        <v>BA Grocery Stores</v>
      </c>
      <c r="E13" s="65">
        <v>29</v>
      </c>
      <c r="F13" s="65">
        <v>252</v>
      </c>
      <c r="G13" s="65">
        <v>225</v>
      </c>
      <c r="H13" s="67">
        <v>0.91</v>
      </c>
      <c r="I13" s="65">
        <v>113</v>
      </c>
      <c r="J13" s="67">
        <v>1.5</v>
      </c>
      <c r="K13" s="67">
        <v>0.22</v>
      </c>
      <c r="L13" s="63" t="s">
        <v>1436</v>
      </c>
    </row>
    <row r="14" spans="1:12">
      <c r="A14" s="290"/>
      <c r="B14" s="62" t="s">
        <v>858</v>
      </c>
      <c r="C14" s="62" t="s">
        <v>59</v>
      </c>
      <c r="D14" s="62" t="str">
        <f t="shared" si="0"/>
        <v>BA Library</v>
      </c>
      <c r="E14" s="65">
        <v>10</v>
      </c>
      <c r="F14" s="65">
        <v>250</v>
      </c>
      <c r="G14" s="65">
        <v>250</v>
      </c>
      <c r="H14" s="67">
        <v>1.5</v>
      </c>
      <c r="I14" s="65">
        <v>120</v>
      </c>
      <c r="J14" s="67">
        <v>1.3</v>
      </c>
      <c r="K14" s="67">
        <v>0.15</v>
      </c>
    </row>
    <row r="15" spans="1:12">
      <c r="A15" s="290"/>
      <c r="B15" s="62" t="s">
        <v>858</v>
      </c>
      <c r="C15" s="62" t="s">
        <v>1445</v>
      </c>
      <c r="D15" s="62" t="str">
        <f t="shared" si="0"/>
        <v>BA Medical Buildings and Clinics</v>
      </c>
      <c r="E15" s="65">
        <v>10</v>
      </c>
      <c r="F15" s="65">
        <v>250</v>
      </c>
      <c r="G15" s="65">
        <v>213</v>
      </c>
      <c r="H15" s="67">
        <v>1.18</v>
      </c>
      <c r="I15" s="65">
        <v>110</v>
      </c>
      <c r="J15" s="67">
        <v>1.1000000000000001</v>
      </c>
      <c r="K15" s="67">
        <v>0.15</v>
      </c>
    </row>
    <row r="16" spans="1:12">
      <c r="A16" s="290"/>
      <c r="B16" s="62" t="s">
        <v>858</v>
      </c>
      <c r="C16" s="62" t="s">
        <v>1446</v>
      </c>
      <c r="D16" s="62" t="str">
        <f t="shared" si="0"/>
        <v>BA Office Buildings</v>
      </c>
      <c r="E16" s="65">
        <v>10</v>
      </c>
      <c r="F16" s="65">
        <v>250</v>
      </c>
      <c r="G16" s="65">
        <v>206</v>
      </c>
      <c r="H16" s="67">
        <v>1.34</v>
      </c>
      <c r="I16" s="65">
        <v>106</v>
      </c>
      <c r="J16" s="67">
        <v>0.85</v>
      </c>
      <c r="K16" s="67">
        <v>0.15</v>
      </c>
    </row>
    <row r="17" spans="1:12">
      <c r="A17" s="290"/>
      <c r="B17" s="62" t="s">
        <v>858</v>
      </c>
      <c r="C17" s="62" t="s">
        <v>1447</v>
      </c>
      <c r="D17" s="62" t="str">
        <f t="shared" si="0"/>
        <v>BA Religious Facilities</v>
      </c>
      <c r="E17" s="65">
        <v>136</v>
      </c>
      <c r="F17" s="65">
        <v>245</v>
      </c>
      <c r="G17" s="65">
        <v>112</v>
      </c>
      <c r="H17" s="67">
        <v>0.96</v>
      </c>
      <c r="I17" s="65">
        <v>57</v>
      </c>
      <c r="J17" s="67">
        <v>1.6</v>
      </c>
      <c r="K17" s="67">
        <v>1.03</v>
      </c>
      <c r="L17" s="63" t="s">
        <v>1436</v>
      </c>
    </row>
    <row r="18" spans="1:12">
      <c r="A18" s="290"/>
      <c r="B18" s="62" t="s">
        <v>858</v>
      </c>
      <c r="C18" s="62" t="s">
        <v>1448</v>
      </c>
      <c r="D18" s="62" t="str">
        <f t="shared" si="0"/>
        <v>BA Restaurants</v>
      </c>
      <c r="E18" s="65">
        <v>45</v>
      </c>
      <c r="F18" s="65">
        <v>274</v>
      </c>
      <c r="G18" s="65">
        <v>334</v>
      </c>
      <c r="H18" s="67">
        <v>0.79</v>
      </c>
      <c r="I18" s="65">
        <v>366</v>
      </c>
      <c r="J18" s="67">
        <v>1.2</v>
      </c>
      <c r="K18" s="67">
        <v>0.38</v>
      </c>
      <c r="L18" s="63" t="s">
        <v>1436</v>
      </c>
    </row>
    <row r="19" spans="1:12">
      <c r="A19" s="290"/>
      <c r="B19" s="62" t="s">
        <v>858</v>
      </c>
      <c r="C19" s="62" t="s">
        <v>1449</v>
      </c>
      <c r="D19" s="62" t="str">
        <f t="shared" si="0"/>
        <v>BA Schools</v>
      </c>
      <c r="E19" s="65">
        <v>40</v>
      </c>
      <c r="F19" s="65">
        <v>246</v>
      </c>
      <c r="G19" s="65">
        <v>171</v>
      </c>
      <c r="H19" s="67">
        <v>1</v>
      </c>
      <c r="I19" s="65">
        <v>108</v>
      </c>
      <c r="J19" s="67">
        <v>1</v>
      </c>
      <c r="K19" s="67">
        <v>0.32</v>
      </c>
      <c r="L19" s="63" t="s">
        <v>1436</v>
      </c>
    </row>
    <row r="20" spans="1:12">
      <c r="A20" s="290"/>
      <c r="B20" s="62" t="s">
        <v>858</v>
      </c>
      <c r="C20" s="62" t="s">
        <v>1450</v>
      </c>
      <c r="D20" s="62" t="str">
        <f t="shared" si="0"/>
        <v>BA Theaters</v>
      </c>
      <c r="E20" s="65">
        <v>130</v>
      </c>
      <c r="F20" s="65">
        <v>268</v>
      </c>
      <c r="G20" s="65">
        <v>403</v>
      </c>
      <c r="H20" s="67">
        <v>0.54</v>
      </c>
      <c r="I20" s="65">
        <v>60</v>
      </c>
      <c r="J20" s="67">
        <v>1.3</v>
      </c>
      <c r="K20" s="67">
        <v>0.98</v>
      </c>
      <c r="L20" s="63" t="s">
        <v>1436</v>
      </c>
    </row>
    <row r="21" spans="1:12">
      <c r="A21" s="291" t="s">
        <v>1451</v>
      </c>
      <c r="B21" s="62" t="s">
        <v>1452</v>
      </c>
      <c r="C21" s="62" t="s">
        <v>865</v>
      </c>
      <c r="D21" s="62" t="str">
        <f t="shared" si="0"/>
        <v>SO Auditorium</v>
      </c>
      <c r="E21" s="65">
        <v>143</v>
      </c>
      <c r="F21" s="65">
        <v>245</v>
      </c>
      <c r="G21" s="65">
        <v>105</v>
      </c>
      <c r="H21" s="67">
        <v>1</v>
      </c>
      <c r="I21" s="65">
        <v>60</v>
      </c>
      <c r="J21" s="67">
        <v>1.5</v>
      </c>
      <c r="K21" s="67">
        <v>1.07</v>
      </c>
      <c r="L21" s="63" t="s">
        <v>1453</v>
      </c>
    </row>
    <row r="22" spans="1:12">
      <c r="A22" s="291"/>
      <c r="B22" s="64" t="s">
        <v>1452</v>
      </c>
      <c r="C22" s="62" t="s">
        <v>33</v>
      </c>
      <c r="D22" s="62" t="str">
        <f t="shared" si="0"/>
        <v>SO Auto Repair</v>
      </c>
      <c r="E22" s="65">
        <v>10</v>
      </c>
      <c r="F22" s="65">
        <v>275</v>
      </c>
      <c r="G22" s="65">
        <v>475</v>
      </c>
      <c r="H22" s="67">
        <v>1</v>
      </c>
      <c r="I22" s="65">
        <v>120</v>
      </c>
      <c r="J22" s="68" t="s">
        <v>1454</v>
      </c>
      <c r="K22" s="67">
        <v>1.5</v>
      </c>
    </row>
    <row r="23" spans="1:12">
      <c r="A23" s="291"/>
      <c r="B23" s="64" t="s">
        <v>1452</v>
      </c>
      <c r="C23" s="62" t="s">
        <v>1455</v>
      </c>
      <c r="D23" s="62" t="str">
        <f t="shared" si="0"/>
        <v>SO Bar, Cocktail Lounge and Casino</v>
      </c>
      <c r="E23" s="65">
        <v>67</v>
      </c>
      <c r="F23" s="65">
        <v>275</v>
      </c>
      <c r="G23" s="65">
        <v>275</v>
      </c>
      <c r="H23" s="67">
        <v>1</v>
      </c>
      <c r="I23" s="65">
        <v>120</v>
      </c>
      <c r="J23" s="67">
        <v>1.1000000000000001</v>
      </c>
      <c r="K23" s="61">
        <v>0.5</v>
      </c>
      <c r="L23" s="63" t="s">
        <v>1453</v>
      </c>
    </row>
    <row r="24" spans="1:12">
      <c r="A24" s="291"/>
      <c r="B24" s="64" t="s">
        <v>1452</v>
      </c>
      <c r="C24" s="62" t="s">
        <v>1456</v>
      </c>
      <c r="D24" s="62" t="str">
        <f t="shared" si="0"/>
        <v>SO Beauty Salon</v>
      </c>
      <c r="E24" s="65">
        <v>10</v>
      </c>
      <c r="F24" s="65">
        <v>250</v>
      </c>
      <c r="G24" s="65">
        <v>200</v>
      </c>
      <c r="H24" s="67">
        <v>2</v>
      </c>
      <c r="I24" s="65">
        <v>120</v>
      </c>
      <c r="J24" s="67">
        <v>1.7</v>
      </c>
      <c r="K24" s="67">
        <v>0.4</v>
      </c>
    </row>
    <row r="25" spans="1:12">
      <c r="A25" s="291"/>
      <c r="B25" s="64" t="s">
        <v>1452</v>
      </c>
      <c r="C25" s="62" t="s">
        <v>1457</v>
      </c>
      <c r="D25" s="62" t="str">
        <f t="shared" si="0"/>
        <v>SO Classrooms, Lecture, Training, Vocational Room</v>
      </c>
      <c r="E25" s="65">
        <v>50</v>
      </c>
      <c r="F25" s="65">
        <v>245</v>
      </c>
      <c r="G25" s="65">
        <v>155</v>
      </c>
      <c r="H25" s="67">
        <v>1</v>
      </c>
      <c r="I25" s="65">
        <v>120</v>
      </c>
      <c r="J25" s="67">
        <v>1.2</v>
      </c>
      <c r="K25" s="67">
        <v>0.38</v>
      </c>
    </row>
    <row r="26" spans="1:12">
      <c r="A26" s="291"/>
      <c r="B26" s="64" t="s">
        <v>1452</v>
      </c>
      <c r="C26" s="62" t="s">
        <v>1458</v>
      </c>
      <c r="D26" s="62" t="str">
        <f t="shared" si="0"/>
        <v>SO Civic  Meeting Place</v>
      </c>
      <c r="E26" s="65">
        <v>25</v>
      </c>
      <c r="F26" s="65">
        <v>250</v>
      </c>
      <c r="G26" s="65">
        <v>200</v>
      </c>
      <c r="H26" s="67">
        <v>1.5</v>
      </c>
      <c r="I26" s="65">
        <v>120</v>
      </c>
      <c r="J26" s="67">
        <v>1.3</v>
      </c>
      <c r="K26" s="67">
        <v>0.19</v>
      </c>
      <c r="L26" s="63" t="s">
        <v>1453</v>
      </c>
    </row>
    <row r="27" spans="1:12">
      <c r="A27" s="291"/>
      <c r="B27" s="64" t="s">
        <v>1452</v>
      </c>
      <c r="C27" s="62" t="s">
        <v>1459</v>
      </c>
      <c r="D27" s="62" t="str">
        <f t="shared" si="0"/>
        <v>SO Commercial and Industrial Storage (conditioned or unconditioned)</v>
      </c>
      <c r="E27" s="65">
        <v>3</v>
      </c>
      <c r="F27" s="65">
        <v>275</v>
      </c>
      <c r="G27" s="65">
        <v>475</v>
      </c>
      <c r="H27" s="67">
        <v>0.2</v>
      </c>
      <c r="I27" s="65">
        <v>120</v>
      </c>
      <c r="J27" s="67">
        <v>0.6</v>
      </c>
      <c r="K27" s="67">
        <v>0.15</v>
      </c>
    </row>
    <row r="28" spans="1:12">
      <c r="A28" s="291"/>
      <c r="B28" s="64" t="s">
        <v>1452</v>
      </c>
      <c r="C28" s="62" t="s">
        <v>1460</v>
      </c>
      <c r="D28" s="62" t="str">
        <f t="shared" si="0"/>
        <v>SO Commercial and Industrial Storage (refrigerated)</v>
      </c>
      <c r="E28" s="65">
        <v>1</v>
      </c>
      <c r="F28" s="65">
        <v>275</v>
      </c>
      <c r="G28" s="65">
        <v>475</v>
      </c>
      <c r="H28" s="67">
        <v>0.2</v>
      </c>
      <c r="I28" s="65">
        <v>0</v>
      </c>
      <c r="J28" s="67">
        <v>0.7</v>
      </c>
      <c r="K28" s="67">
        <v>0.15</v>
      </c>
    </row>
    <row r="29" spans="1:12">
      <c r="A29" s="291"/>
      <c r="B29" s="64" t="s">
        <v>1452</v>
      </c>
      <c r="C29" s="62" t="s">
        <v>1461</v>
      </c>
      <c r="D29" s="62" t="str">
        <f t="shared" si="0"/>
        <v>SO Convention, Conference, Multi-purpose and Meeting Centers (Note 10)</v>
      </c>
      <c r="E29" s="65">
        <v>67</v>
      </c>
      <c r="F29" s="65">
        <v>245</v>
      </c>
      <c r="G29" s="65">
        <v>155</v>
      </c>
      <c r="H29" s="67">
        <v>1</v>
      </c>
      <c r="I29" s="65">
        <v>60</v>
      </c>
      <c r="J29" s="67">
        <v>1.4</v>
      </c>
      <c r="K29" s="67">
        <v>0.5</v>
      </c>
    </row>
    <row r="30" spans="1:12">
      <c r="A30" s="291"/>
      <c r="B30" s="64" t="s">
        <v>1452</v>
      </c>
      <c r="C30" s="62" t="s">
        <v>1462</v>
      </c>
      <c r="D30" s="62" t="str">
        <f t="shared" si="0"/>
        <v>SO Corridors, Restrooms, Stairs, and Support Areas</v>
      </c>
      <c r="E30" s="65">
        <v>10</v>
      </c>
      <c r="F30" s="65">
        <v>250</v>
      </c>
      <c r="G30" s="65">
        <v>250</v>
      </c>
      <c r="H30" s="67">
        <v>0.2</v>
      </c>
      <c r="I30" s="65">
        <v>0</v>
      </c>
      <c r="J30" s="67">
        <v>0.6</v>
      </c>
      <c r="K30" s="67">
        <v>0.15</v>
      </c>
    </row>
    <row r="31" spans="1:12">
      <c r="A31" s="291"/>
      <c r="B31" s="64" t="s">
        <v>1452</v>
      </c>
      <c r="C31" s="62" t="s">
        <v>1463</v>
      </c>
      <c r="D31" s="62" t="str">
        <f t="shared" si="0"/>
        <v>SO Dining</v>
      </c>
      <c r="E31" s="65">
        <v>67</v>
      </c>
      <c r="F31" s="65">
        <v>275</v>
      </c>
      <c r="G31" s="65">
        <v>275</v>
      </c>
      <c r="H31" s="67">
        <v>0.5</v>
      </c>
      <c r="I31" s="65">
        <v>385</v>
      </c>
      <c r="J31" s="67">
        <v>1.1000000000000001</v>
      </c>
      <c r="K31" s="67">
        <v>0.5</v>
      </c>
      <c r="L31" s="63" t="s">
        <v>1453</v>
      </c>
    </row>
    <row r="32" spans="1:12">
      <c r="A32" s="291"/>
      <c r="B32" s="64" t="s">
        <v>1452</v>
      </c>
      <c r="C32" s="62" t="s">
        <v>1464</v>
      </c>
      <c r="D32" s="62" t="str">
        <f t="shared" si="0"/>
        <v>SO Electrical, Mechanical Room</v>
      </c>
      <c r="E32" s="65">
        <v>3</v>
      </c>
      <c r="F32" s="65">
        <v>250</v>
      </c>
      <c r="G32" s="65">
        <v>250</v>
      </c>
      <c r="H32" s="67">
        <v>0.2</v>
      </c>
      <c r="I32" s="65">
        <v>0</v>
      </c>
      <c r="J32" s="67">
        <v>0.7</v>
      </c>
      <c r="K32" s="67">
        <v>0.15</v>
      </c>
    </row>
    <row r="33" spans="1:12">
      <c r="A33" s="291"/>
      <c r="B33" s="64" t="s">
        <v>1452</v>
      </c>
      <c r="C33" s="62" t="s">
        <v>1465</v>
      </c>
      <c r="D33" s="62" t="str">
        <f t="shared" si="0"/>
        <v>SO Exercise, Center,  Gymnasium</v>
      </c>
      <c r="E33" s="65">
        <v>20</v>
      </c>
      <c r="F33" s="65">
        <v>255</v>
      </c>
      <c r="G33" s="65">
        <v>875</v>
      </c>
      <c r="H33" s="67">
        <v>0.5</v>
      </c>
      <c r="I33" s="65">
        <v>120</v>
      </c>
      <c r="J33" s="67">
        <v>1</v>
      </c>
      <c r="K33" s="67">
        <v>0.15</v>
      </c>
    </row>
    <row r="34" spans="1:12">
      <c r="A34" s="291"/>
      <c r="B34" s="64" t="s">
        <v>1452</v>
      </c>
      <c r="C34" s="62" t="s">
        <v>1466</v>
      </c>
      <c r="D34" s="62" t="str">
        <f t="shared" si="0"/>
        <v>SO Exhibit, Museum</v>
      </c>
      <c r="E34" s="65">
        <v>67</v>
      </c>
      <c r="F34" s="65">
        <v>250</v>
      </c>
      <c r="G34" s="65">
        <v>250</v>
      </c>
      <c r="H34" s="67">
        <v>1.5</v>
      </c>
      <c r="I34" s="65">
        <v>60</v>
      </c>
      <c r="J34" s="67">
        <v>2</v>
      </c>
      <c r="K34" s="67">
        <v>0.5</v>
      </c>
      <c r="L34" s="63" t="s">
        <v>1453</v>
      </c>
    </row>
    <row r="35" spans="1:12">
      <c r="A35" s="291"/>
      <c r="B35" s="64" t="s">
        <v>1452</v>
      </c>
      <c r="C35" s="62" t="s">
        <v>1467</v>
      </c>
      <c r="D35" s="62" t="str">
        <f t="shared" si="0"/>
        <v>SO Financial Transaction</v>
      </c>
      <c r="E35" s="65">
        <v>10</v>
      </c>
      <c r="F35" s="65">
        <v>250</v>
      </c>
      <c r="G35" s="65">
        <v>250</v>
      </c>
      <c r="H35" s="67">
        <v>1.5</v>
      </c>
      <c r="I35" s="65">
        <v>120</v>
      </c>
      <c r="J35" s="67">
        <v>1.2</v>
      </c>
      <c r="K35" s="67">
        <v>0.15</v>
      </c>
    </row>
    <row r="36" spans="1:12">
      <c r="A36" s="291"/>
      <c r="B36" s="64" t="s">
        <v>1452</v>
      </c>
      <c r="C36" s="62" t="s">
        <v>1468</v>
      </c>
      <c r="D36" s="62" t="str">
        <f t="shared" si="0"/>
        <v>SO Dry Cleaning (Coin Operated)</v>
      </c>
      <c r="E36" s="65">
        <v>10</v>
      </c>
      <c r="F36" s="65">
        <v>250</v>
      </c>
      <c r="G36" s="65">
        <v>250</v>
      </c>
      <c r="H36" s="67">
        <v>3</v>
      </c>
      <c r="I36" s="65">
        <v>120</v>
      </c>
      <c r="J36" s="67">
        <v>0.9</v>
      </c>
      <c r="K36" s="67">
        <v>0.3</v>
      </c>
    </row>
    <row r="37" spans="1:12">
      <c r="A37" s="291"/>
      <c r="B37" s="64" t="s">
        <v>1452</v>
      </c>
      <c r="C37" s="62" t="s">
        <v>1469</v>
      </c>
      <c r="D37" s="62" t="str">
        <f t="shared" si="0"/>
        <v>SO Dry Cleaning (Full Service Commercial)</v>
      </c>
      <c r="E37" s="65">
        <v>10</v>
      </c>
      <c r="F37" s="65">
        <v>250</v>
      </c>
      <c r="G37" s="65">
        <v>250</v>
      </c>
      <c r="H37" s="67">
        <v>3</v>
      </c>
      <c r="I37" s="65">
        <v>120</v>
      </c>
      <c r="J37" s="67">
        <v>0.9</v>
      </c>
      <c r="K37" s="67">
        <v>0.45</v>
      </c>
    </row>
    <row r="38" spans="1:12">
      <c r="A38" s="291"/>
      <c r="B38" s="64" t="s">
        <v>1452</v>
      </c>
      <c r="C38" s="62" t="s">
        <v>1470</v>
      </c>
      <c r="D38" s="62" t="str">
        <f t="shared" si="0"/>
        <v>SO General Commercial and Industrial Work, High Bay</v>
      </c>
      <c r="E38" s="65">
        <v>10</v>
      </c>
      <c r="F38" s="65">
        <v>275</v>
      </c>
      <c r="G38" s="65">
        <v>475</v>
      </c>
      <c r="H38" s="67">
        <v>1</v>
      </c>
      <c r="I38" s="65">
        <v>120</v>
      </c>
      <c r="J38" s="67" t="s">
        <v>1471</v>
      </c>
      <c r="K38" s="67">
        <v>0.15</v>
      </c>
    </row>
    <row r="39" spans="1:12">
      <c r="A39" s="291"/>
      <c r="B39" s="64" t="s">
        <v>1452</v>
      </c>
      <c r="C39" s="62" t="s">
        <v>1472</v>
      </c>
      <c r="D39" s="62" t="str">
        <f t="shared" si="0"/>
        <v>SO General Commercial and Industrial Work, Low Bay</v>
      </c>
      <c r="E39" s="65">
        <v>10</v>
      </c>
      <c r="F39" s="65">
        <v>275</v>
      </c>
      <c r="G39" s="65">
        <v>475</v>
      </c>
      <c r="H39" s="67">
        <v>1</v>
      </c>
      <c r="I39" s="65">
        <v>120</v>
      </c>
      <c r="J39" s="67">
        <v>0.9</v>
      </c>
      <c r="K39" s="67">
        <v>0.15</v>
      </c>
    </row>
    <row r="40" spans="1:12">
      <c r="A40" s="291"/>
      <c r="B40" s="64" t="s">
        <v>1452</v>
      </c>
      <c r="C40" s="62" t="s">
        <v>1473</v>
      </c>
      <c r="D40" s="62" t="str">
        <f t="shared" si="0"/>
        <v>SO General Commercial and Industrial Work, Precision</v>
      </c>
      <c r="E40" s="65">
        <v>10</v>
      </c>
      <c r="F40" s="65">
        <v>250</v>
      </c>
      <c r="G40" s="65">
        <v>200</v>
      </c>
      <c r="H40" s="67">
        <v>1</v>
      </c>
      <c r="I40" s="65">
        <v>120</v>
      </c>
      <c r="J40" s="67" t="s">
        <v>1474</v>
      </c>
      <c r="K40" s="67">
        <v>0.15</v>
      </c>
    </row>
    <row r="41" spans="1:12">
      <c r="A41" s="291"/>
      <c r="B41" s="64" t="s">
        <v>1452</v>
      </c>
      <c r="C41" s="62" t="s">
        <v>1475</v>
      </c>
      <c r="D41" s="62" t="str">
        <f t="shared" si="0"/>
        <v>SO Grocery Sales</v>
      </c>
      <c r="E41" s="65">
        <v>33</v>
      </c>
      <c r="F41" s="65">
        <v>250</v>
      </c>
      <c r="G41" s="65">
        <v>200</v>
      </c>
      <c r="H41" s="67">
        <v>1</v>
      </c>
      <c r="I41" s="65">
        <v>120</v>
      </c>
      <c r="J41" s="67">
        <v>1.6</v>
      </c>
      <c r="K41" s="67">
        <v>0.25</v>
      </c>
      <c r="L41" s="63" t="s">
        <v>1453</v>
      </c>
    </row>
    <row r="42" spans="1:12">
      <c r="A42" s="291"/>
      <c r="B42" s="64" t="s">
        <v>1452</v>
      </c>
      <c r="C42" s="62" t="s">
        <v>1476</v>
      </c>
      <c r="D42" s="62" t="str">
        <f t="shared" si="0"/>
        <v>SO High-Rise Residential Living Spaces</v>
      </c>
      <c r="E42" s="65">
        <v>5</v>
      </c>
      <c r="F42" s="65">
        <v>245</v>
      </c>
      <c r="G42" s="65">
        <v>155</v>
      </c>
      <c r="H42" s="67">
        <v>0.5</v>
      </c>
      <c r="I42" s="65">
        <v>1700</v>
      </c>
      <c r="J42" s="67">
        <v>0.5</v>
      </c>
      <c r="K42" s="67">
        <v>0.15</v>
      </c>
      <c r="L42" s="54" t="s">
        <v>1477</v>
      </c>
    </row>
    <row r="43" spans="1:12">
      <c r="A43" s="291"/>
      <c r="B43" s="64" t="s">
        <v>1452</v>
      </c>
      <c r="C43" s="62" t="s">
        <v>1478</v>
      </c>
      <c r="D43" s="62" t="str">
        <f t="shared" si="0"/>
        <v>SO Hotel Function Area</v>
      </c>
      <c r="E43" s="65">
        <v>67</v>
      </c>
      <c r="F43" s="65">
        <v>250</v>
      </c>
      <c r="G43" s="65">
        <v>200</v>
      </c>
      <c r="H43" s="67">
        <v>0.5</v>
      </c>
      <c r="I43" s="65">
        <v>60</v>
      </c>
      <c r="J43" s="67">
        <v>1.5</v>
      </c>
      <c r="K43" s="67">
        <v>0.5</v>
      </c>
      <c r="L43" s="63" t="s">
        <v>1453</v>
      </c>
    </row>
    <row r="44" spans="1:12">
      <c r="A44" s="291"/>
      <c r="B44" s="64" t="s">
        <v>1452</v>
      </c>
      <c r="C44" s="62" t="s">
        <v>1479</v>
      </c>
      <c r="D44" s="62" t="str">
        <f t="shared" si="0"/>
        <v>SO Hotel/Motel Guest Room</v>
      </c>
      <c r="E44" s="65">
        <v>5</v>
      </c>
      <c r="F44" s="65">
        <v>245</v>
      </c>
      <c r="G44" s="65">
        <v>155</v>
      </c>
      <c r="H44" s="67">
        <v>0.5</v>
      </c>
      <c r="I44" s="65">
        <v>2800</v>
      </c>
      <c r="J44" s="67">
        <v>0.5</v>
      </c>
      <c r="K44" s="67">
        <v>0.15</v>
      </c>
      <c r="L44" s="54" t="s">
        <v>1477</v>
      </c>
    </row>
    <row r="45" spans="1:12">
      <c r="A45" s="291"/>
      <c r="B45" s="64" t="s">
        <v>1452</v>
      </c>
      <c r="C45" s="62" t="s">
        <v>1480</v>
      </c>
      <c r="D45" s="62" t="str">
        <f t="shared" si="0"/>
        <v>SO Housing, Public and Common Areas: Multi-family, Dormitory</v>
      </c>
      <c r="E45" s="65">
        <v>10</v>
      </c>
      <c r="F45" s="65">
        <v>250</v>
      </c>
      <c r="G45" s="65">
        <v>250</v>
      </c>
      <c r="H45" s="67">
        <v>0.5</v>
      </c>
      <c r="I45" s="65">
        <v>120</v>
      </c>
      <c r="J45" s="67">
        <v>1</v>
      </c>
      <c r="K45" s="67">
        <v>0.15</v>
      </c>
    </row>
    <row r="46" spans="1:12">
      <c r="A46" s="291"/>
      <c r="B46" s="64" t="s">
        <v>1452</v>
      </c>
      <c r="C46" s="62" t="s">
        <v>1481</v>
      </c>
      <c r="D46" s="62" t="str">
        <f t="shared" si="0"/>
        <v>SO Housing, Public and Common Areas:, Senior Housing</v>
      </c>
      <c r="E46" s="65">
        <v>10</v>
      </c>
      <c r="F46" s="65">
        <v>250</v>
      </c>
      <c r="G46" s="65">
        <v>250</v>
      </c>
      <c r="H46" s="67">
        <v>0.5</v>
      </c>
      <c r="I46" s="65">
        <v>120</v>
      </c>
      <c r="J46" s="67">
        <v>1.5</v>
      </c>
      <c r="K46" s="67">
        <v>0.15</v>
      </c>
    </row>
    <row r="47" spans="1:12">
      <c r="A47" s="291"/>
      <c r="B47" s="64" t="s">
        <v>1452</v>
      </c>
      <c r="C47" s="62" t="s">
        <v>1482</v>
      </c>
      <c r="D47" s="62" t="str">
        <f t="shared" si="0"/>
        <v>SO Kitchen, Food Preparation</v>
      </c>
      <c r="E47" s="65">
        <v>5</v>
      </c>
      <c r="F47" s="65">
        <v>275</v>
      </c>
      <c r="G47" s="65">
        <v>475</v>
      </c>
      <c r="H47" s="67">
        <v>1.5</v>
      </c>
      <c r="I47" s="65">
        <v>385</v>
      </c>
      <c r="J47" s="67">
        <v>1.6</v>
      </c>
      <c r="K47" s="67">
        <v>0.15</v>
      </c>
    </row>
    <row r="48" spans="1:12">
      <c r="A48" s="291"/>
      <c r="B48" s="64" t="s">
        <v>1452</v>
      </c>
      <c r="C48" s="62" t="s">
        <v>1483</v>
      </c>
      <c r="D48" s="62" t="str">
        <f t="shared" si="0"/>
        <v>SO Laboratory, Scientific</v>
      </c>
      <c r="E48" s="65">
        <v>10</v>
      </c>
      <c r="F48" s="65">
        <v>250</v>
      </c>
      <c r="G48" s="65">
        <v>200</v>
      </c>
      <c r="H48" s="67">
        <v>1</v>
      </c>
      <c r="I48" s="65">
        <v>120</v>
      </c>
      <c r="J48" s="67">
        <v>1.4</v>
      </c>
      <c r="K48" s="67">
        <v>0.38</v>
      </c>
    </row>
    <row r="49" spans="1:12">
      <c r="A49" s="291"/>
      <c r="B49" s="64" t="s">
        <v>1452</v>
      </c>
      <c r="C49" s="62" t="s">
        <v>1484</v>
      </c>
      <c r="D49" s="62" t="str">
        <f t="shared" si="0"/>
        <v>SO Laundry</v>
      </c>
      <c r="E49" s="65">
        <v>10</v>
      </c>
      <c r="F49" s="65">
        <v>250</v>
      </c>
      <c r="G49" s="65">
        <v>250</v>
      </c>
      <c r="H49" s="67">
        <v>3</v>
      </c>
      <c r="I49" s="65">
        <v>385</v>
      </c>
      <c r="J49" s="67">
        <v>0.9</v>
      </c>
      <c r="K49" s="67">
        <v>0.15</v>
      </c>
    </row>
    <row r="50" spans="1:12">
      <c r="A50" s="291"/>
      <c r="B50" s="64" t="s">
        <v>1452</v>
      </c>
      <c r="C50" s="62" t="s">
        <v>1485</v>
      </c>
      <c r="D50" s="62" t="str">
        <f t="shared" si="0"/>
        <v>SO Library, Reading Areas</v>
      </c>
      <c r="E50" s="65">
        <v>20</v>
      </c>
      <c r="F50" s="65">
        <v>250</v>
      </c>
      <c r="G50" s="65">
        <v>200</v>
      </c>
      <c r="H50" s="67">
        <v>1.5</v>
      </c>
      <c r="I50" s="65">
        <v>120</v>
      </c>
      <c r="J50" s="67">
        <v>1.2</v>
      </c>
      <c r="K50" s="67">
        <v>0.15</v>
      </c>
    </row>
    <row r="51" spans="1:12">
      <c r="A51" s="291"/>
      <c r="B51" s="64" t="s">
        <v>1452</v>
      </c>
      <c r="C51" s="62" t="s">
        <v>1486</v>
      </c>
      <c r="D51" s="62" t="str">
        <f t="shared" si="0"/>
        <v>SO Library, Stacks</v>
      </c>
      <c r="E51" s="65">
        <v>10</v>
      </c>
      <c r="F51" s="65">
        <v>250</v>
      </c>
      <c r="G51" s="65">
        <v>200</v>
      </c>
      <c r="H51" s="67">
        <v>1.5</v>
      </c>
      <c r="I51" s="65">
        <v>120</v>
      </c>
      <c r="J51" s="67">
        <v>1.5</v>
      </c>
      <c r="K51" s="67">
        <v>0.15</v>
      </c>
    </row>
    <row r="52" spans="1:12">
      <c r="A52" s="291"/>
      <c r="B52" s="64" t="s">
        <v>1452</v>
      </c>
      <c r="C52" s="62" t="s">
        <v>1487</v>
      </c>
      <c r="D52" s="62" t="str">
        <f t="shared" si="0"/>
        <v>SO Lobby, Hotel</v>
      </c>
      <c r="E52" s="65">
        <v>10</v>
      </c>
      <c r="F52" s="65">
        <v>250</v>
      </c>
      <c r="G52" s="65">
        <v>250</v>
      </c>
      <c r="H52" s="67">
        <v>0.5</v>
      </c>
      <c r="I52" s="65">
        <v>120</v>
      </c>
      <c r="J52" s="67">
        <v>1.1000000000000001</v>
      </c>
      <c r="K52" s="67">
        <v>0.15</v>
      </c>
    </row>
    <row r="53" spans="1:12">
      <c r="A53" s="291"/>
      <c r="B53" s="64" t="s">
        <v>1452</v>
      </c>
      <c r="C53" s="62" t="s">
        <v>1488</v>
      </c>
      <c r="D53" s="62" t="str">
        <f t="shared" si="0"/>
        <v>SO Lobby, Main Entry</v>
      </c>
      <c r="E53" s="65">
        <v>10</v>
      </c>
      <c r="F53" s="65">
        <v>250</v>
      </c>
      <c r="G53" s="65">
        <v>250</v>
      </c>
      <c r="H53" s="67">
        <v>0.5</v>
      </c>
      <c r="I53" s="65">
        <v>60</v>
      </c>
      <c r="J53" s="67">
        <v>1.5</v>
      </c>
      <c r="K53" s="67">
        <v>0.15</v>
      </c>
    </row>
    <row r="54" spans="1:12">
      <c r="A54" s="291"/>
      <c r="B54" s="64" t="s">
        <v>1452</v>
      </c>
      <c r="C54" s="62" t="s">
        <v>1489</v>
      </c>
      <c r="D54" s="62" t="str">
        <f t="shared" si="0"/>
        <v>SO Locker/Dressing Room</v>
      </c>
      <c r="E54" s="65">
        <v>20</v>
      </c>
      <c r="F54" s="65">
        <v>255</v>
      </c>
      <c r="G54" s="65">
        <v>475</v>
      </c>
      <c r="H54" s="67">
        <v>0.5</v>
      </c>
      <c r="I54" s="65">
        <v>385</v>
      </c>
      <c r="J54" s="67">
        <v>0.8</v>
      </c>
      <c r="K54" s="67">
        <v>0.15</v>
      </c>
    </row>
    <row r="55" spans="1:12">
      <c r="A55" s="291"/>
      <c r="B55" s="64" t="s">
        <v>1452</v>
      </c>
      <c r="C55" s="62" t="s">
        <v>1490</v>
      </c>
      <c r="D55" s="62" t="str">
        <f t="shared" si="0"/>
        <v>SO Lounge, Recreation</v>
      </c>
      <c r="E55" s="65">
        <v>67</v>
      </c>
      <c r="F55" s="65">
        <v>275</v>
      </c>
      <c r="G55" s="65">
        <v>275</v>
      </c>
      <c r="H55" s="67">
        <v>1</v>
      </c>
      <c r="I55" s="65">
        <v>60</v>
      </c>
      <c r="J55" s="67">
        <v>1.1000000000000001</v>
      </c>
      <c r="K55" s="67">
        <v>0.5</v>
      </c>
      <c r="L55" s="63" t="s">
        <v>1453</v>
      </c>
    </row>
    <row r="56" spans="1:12">
      <c r="A56" s="291"/>
      <c r="B56" s="64" t="s">
        <v>1452</v>
      </c>
      <c r="C56" s="62" t="s">
        <v>1491</v>
      </c>
      <c r="D56" s="62" t="str">
        <f t="shared" si="0"/>
        <v>SO Malls  and Atria</v>
      </c>
      <c r="E56" s="65">
        <v>33</v>
      </c>
      <c r="F56" s="65">
        <v>250</v>
      </c>
      <c r="G56" s="65">
        <v>250</v>
      </c>
      <c r="H56" s="67">
        <v>0.5</v>
      </c>
      <c r="I56" s="65">
        <v>120</v>
      </c>
      <c r="J56" s="67">
        <v>1.2</v>
      </c>
      <c r="K56" s="67">
        <v>0.25</v>
      </c>
      <c r="L56" s="63" t="s">
        <v>1453</v>
      </c>
    </row>
    <row r="57" spans="1:12">
      <c r="A57" s="291"/>
      <c r="B57" s="64" t="s">
        <v>1452</v>
      </c>
      <c r="C57" s="62" t="s">
        <v>1492</v>
      </c>
      <c r="D57" s="62" t="str">
        <f t="shared" si="0"/>
        <v>SO Medical and Clinical Care</v>
      </c>
      <c r="E57" s="65">
        <v>10</v>
      </c>
      <c r="F57" s="65">
        <v>250</v>
      </c>
      <c r="G57" s="65">
        <v>200</v>
      </c>
      <c r="H57" s="67">
        <v>1.5</v>
      </c>
      <c r="I57" s="65">
        <v>160</v>
      </c>
      <c r="J57" s="67">
        <v>1.2</v>
      </c>
      <c r="K57" s="67">
        <v>0.15</v>
      </c>
    </row>
    <row r="58" spans="1:12">
      <c r="A58" s="291"/>
      <c r="B58" s="64" t="s">
        <v>1452</v>
      </c>
      <c r="C58" s="62" t="s">
        <v>1493</v>
      </c>
      <c r="D58" s="62" t="str">
        <f t="shared" si="0"/>
        <v>SO Office  (Greater than 250 square feet in floor area)</v>
      </c>
      <c r="E58" s="65">
        <v>10</v>
      </c>
      <c r="F58" s="65">
        <v>250</v>
      </c>
      <c r="G58" s="65">
        <v>200</v>
      </c>
      <c r="H58" s="67">
        <v>1.5</v>
      </c>
      <c r="I58" s="65">
        <v>120</v>
      </c>
      <c r="J58" s="67">
        <v>0.9</v>
      </c>
      <c r="K58" s="67">
        <v>0.15</v>
      </c>
    </row>
    <row r="59" spans="1:12">
      <c r="A59" s="291"/>
      <c r="B59" s="64" t="s">
        <v>1452</v>
      </c>
      <c r="C59" s="62" t="s">
        <v>1494</v>
      </c>
      <c r="D59" s="62" t="str">
        <f t="shared" si="0"/>
        <v>SO Office  (250 square feet in floor area or less)</v>
      </c>
      <c r="E59" s="65">
        <v>10</v>
      </c>
      <c r="F59" s="65">
        <v>250</v>
      </c>
      <c r="G59" s="65">
        <v>200</v>
      </c>
      <c r="H59" s="67">
        <v>1.5</v>
      </c>
      <c r="I59" s="65">
        <v>120</v>
      </c>
      <c r="J59" s="67">
        <v>1.1000000000000001</v>
      </c>
      <c r="K59" s="67">
        <v>0.15</v>
      </c>
    </row>
    <row r="60" spans="1:12">
      <c r="A60" s="291"/>
      <c r="B60" s="64" t="s">
        <v>1452</v>
      </c>
      <c r="C60" s="62" t="s">
        <v>1495</v>
      </c>
      <c r="D60" s="62" t="str">
        <f t="shared" si="0"/>
        <v>SO Police Station and Fire Station</v>
      </c>
      <c r="E60" s="65">
        <v>10</v>
      </c>
      <c r="F60" s="65">
        <v>250</v>
      </c>
      <c r="G60" s="65">
        <v>200</v>
      </c>
      <c r="H60" s="67">
        <v>1.5</v>
      </c>
      <c r="I60" s="65">
        <v>120</v>
      </c>
      <c r="J60" s="67">
        <v>0.9</v>
      </c>
      <c r="K60" s="67">
        <v>0.15</v>
      </c>
    </row>
    <row r="61" spans="1:12">
      <c r="A61" s="291"/>
      <c r="B61" s="64" t="s">
        <v>1452</v>
      </c>
      <c r="C61" s="62" t="s">
        <v>1496</v>
      </c>
      <c r="D61" s="62" t="str">
        <f t="shared" si="0"/>
        <v>SO Religious Worship</v>
      </c>
      <c r="E61" s="65">
        <v>143</v>
      </c>
      <c r="F61" s="65">
        <v>245</v>
      </c>
      <c r="G61" s="65">
        <v>105</v>
      </c>
      <c r="H61" s="67">
        <v>0.5</v>
      </c>
      <c r="I61" s="65">
        <v>60</v>
      </c>
      <c r="J61" s="67">
        <v>1.5</v>
      </c>
      <c r="K61" s="67">
        <v>1.07</v>
      </c>
      <c r="L61" s="63" t="s">
        <v>1453</v>
      </c>
    </row>
    <row r="62" spans="1:12">
      <c r="A62" s="291"/>
      <c r="B62" s="64" t="s">
        <v>1452</v>
      </c>
      <c r="C62" s="62" t="s">
        <v>1497</v>
      </c>
      <c r="D62" s="62" t="str">
        <f t="shared" si="0"/>
        <v>SO Retail Merchandise Sales, Wholesale Showroom</v>
      </c>
      <c r="E62" s="65">
        <v>33</v>
      </c>
      <c r="F62" s="65">
        <v>250</v>
      </c>
      <c r="G62" s="65">
        <v>200</v>
      </c>
      <c r="H62" s="67">
        <v>1</v>
      </c>
      <c r="I62" s="65">
        <v>120</v>
      </c>
      <c r="J62" s="67">
        <v>1.6</v>
      </c>
      <c r="K62" s="67">
        <v>0.25</v>
      </c>
      <c r="L62" s="63" t="s">
        <v>1453</v>
      </c>
    </row>
    <row r="63" spans="1:12">
      <c r="A63" s="291"/>
      <c r="B63" s="64" t="s">
        <v>1452</v>
      </c>
      <c r="C63" s="62" t="s">
        <v>1498</v>
      </c>
      <c r="D63" s="62" t="str">
        <f t="shared" si="0"/>
        <v>SO Tenant Lease Space</v>
      </c>
      <c r="E63" s="65">
        <v>10</v>
      </c>
      <c r="F63" s="65">
        <v>250</v>
      </c>
      <c r="G63" s="65">
        <v>200</v>
      </c>
      <c r="H63" s="67">
        <v>1.5</v>
      </c>
      <c r="I63" s="65">
        <v>120</v>
      </c>
      <c r="J63" s="67">
        <v>1</v>
      </c>
      <c r="K63" s="67">
        <v>0.15</v>
      </c>
    </row>
    <row r="64" spans="1:12">
      <c r="A64" s="291"/>
      <c r="B64" s="64" t="s">
        <v>1452</v>
      </c>
      <c r="C64" s="62" t="s">
        <v>1499</v>
      </c>
      <c r="D64" s="62" t="str">
        <f t="shared" si="0"/>
        <v>SO Theater, Motion Picture</v>
      </c>
      <c r="E64" s="65">
        <v>143</v>
      </c>
      <c r="F64" s="65">
        <v>245</v>
      </c>
      <c r="G64" s="65">
        <v>105</v>
      </c>
      <c r="H64" s="67">
        <v>0.5</v>
      </c>
      <c r="I64" s="65">
        <v>60</v>
      </c>
      <c r="J64" s="67">
        <v>0.9</v>
      </c>
      <c r="K64" s="67">
        <v>1.07</v>
      </c>
      <c r="L64" s="63" t="s">
        <v>1453</v>
      </c>
    </row>
    <row r="65" spans="1:12">
      <c r="A65" s="291"/>
      <c r="B65" s="64" t="s">
        <v>1452</v>
      </c>
      <c r="C65" s="62" t="s">
        <v>1500</v>
      </c>
      <c r="D65" s="62" t="str">
        <f t="shared" si="0"/>
        <v>SO Theater, Performance</v>
      </c>
      <c r="E65" s="65">
        <v>143</v>
      </c>
      <c r="F65" s="65">
        <v>245</v>
      </c>
      <c r="G65" s="65">
        <v>105</v>
      </c>
      <c r="H65" s="67">
        <v>0.5</v>
      </c>
      <c r="I65" s="65">
        <v>60</v>
      </c>
      <c r="J65" s="67">
        <v>1.4</v>
      </c>
      <c r="K65" s="67">
        <v>1.07</v>
      </c>
      <c r="L65" s="63" t="s">
        <v>1453</v>
      </c>
    </row>
    <row r="66" spans="1:12">
      <c r="A66" s="291"/>
      <c r="B66" s="64" t="s">
        <v>1452</v>
      </c>
      <c r="C66" s="62" t="s">
        <v>1501</v>
      </c>
      <c r="D66" s="62" t="str">
        <f t="shared" si="0"/>
        <v>SO Transportation Function</v>
      </c>
      <c r="E66" s="65">
        <v>33</v>
      </c>
      <c r="F66" s="65">
        <v>250</v>
      </c>
      <c r="G66" s="65">
        <v>250</v>
      </c>
      <c r="H66" s="67">
        <v>0.5</v>
      </c>
      <c r="I66" s="65">
        <v>120</v>
      </c>
      <c r="J66" s="67">
        <v>1.2</v>
      </c>
      <c r="K66" s="67">
        <v>0.25</v>
      </c>
      <c r="L66" s="63" t="s">
        <v>1453</v>
      </c>
    </row>
    <row r="67" spans="1:12">
      <c r="A67" s="291"/>
      <c r="B67" s="64" t="s">
        <v>1452</v>
      </c>
      <c r="C67" s="62" t="s">
        <v>1502</v>
      </c>
      <c r="D67" s="62" t="str">
        <f t="shared" si="0"/>
        <v>SO Waiting Area</v>
      </c>
      <c r="E67" s="65">
        <v>10</v>
      </c>
      <c r="F67" s="65">
        <v>250</v>
      </c>
      <c r="G67" s="65">
        <v>250</v>
      </c>
      <c r="H67" s="67">
        <v>0.5</v>
      </c>
      <c r="I67" s="65">
        <v>120</v>
      </c>
      <c r="J67" s="67">
        <v>1.1000000000000001</v>
      </c>
      <c r="K67" s="67">
        <v>0.15</v>
      </c>
    </row>
    <row r="68" spans="1:12">
      <c r="A68" s="291"/>
      <c r="B68" s="64" t="s">
        <v>1452</v>
      </c>
      <c r="C68" s="62" t="s">
        <v>1503</v>
      </c>
      <c r="D68" s="62" t="str">
        <f t="shared" si="0"/>
        <v>SO All Others</v>
      </c>
      <c r="E68" s="65">
        <v>10</v>
      </c>
      <c r="F68" s="65">
        <v>250</v>
      </c>
      <c r="G68" s="65">
        <v>200</v>
      </c>
      <c r="H68" s="67">
        <v>1</v>
      </c>
      <c r="I68" s="65">
        <v>120</v>
      </c>
      <c r="J68" s="67">
        <v>0.6</v>
      </c>
      <c r="K68" s="67">
        <v>0.15</v>
      </c>
    </row>
    <row r="69" spans="1:12">
      <c r="C69" s="62"/>
      <c r="D69" s="62" t="s">
        <v>392</v>
      </c>
      <c r="E69" s="65" t="s">
        <v>34</v>
      </c>
      <c r="F69" s="65" t="s">
        <v>34</v>
      </c>
      <c r="G69" s="65" t="s">
        <v>34</v>
      </c>
      <c r="H69" s="65" t="s">
        <v>34</v>
      </c>
      <c r="I69" s="65" t="s">
        <v>34</v>
      </c>
      <c r="J69" s="65" t="s">
        <v>34</v>
      </c>
      <c r="K69" s="65" t="s">
        <v>34</v>
      </c>
    </row>
    <row r="70" spans="1:12">
      <c r="C70" s="62"/>
      <c r="D70" s="62" t="s">
        <v>630</v>
      </c>
      <c r="E70" s="65" t="s">
        <v>1119</v>
      </c>
      <c r="F70" s="65" t="s">
        <v>1119</v>
      </c>
      <c r="G70" s="65" t="s">
        <v>1119</v>
      </c>
      <c r="H70" s="65" t="s">
        <v>1119</v>
      </c>
      <c r="I70" s="65" t="s">
        <v>1119</v>
      </c>
      <c r="J70" s="65" t="s">
        <v>1119</v>
      </c>
      <c r="K70" s="65" t="s">
        <v>1119</v>
      </c>
    </row>
    <row r="71" spans="1:12">
      <c r="C71" s="62"/>
      <c r="D71" s="62"/>
      <c r="E71" s="65"/>
      <c r="F71" s="65"/>
      <c r="G71" s="65"/>
      <c r="H71" s="67"/>
      <c r="I71" s="65"/>
      <c r="J71" s="67"/>
      <c r="K71" s="67"/>
    </row>
    <row r="72" spans="1:12">
      <c r="C72" s="62"/>
      <c r="D72" s="62"/>
      <c r="E72" s="65"/>
      <c r="F72" s="65"/>
      <c r="G72" s="65"/>
      <c r="H72" s="67"/>
      <c r="I72" s="65"/>
      <c r="J72" s="67"/>
      <c r="K72" s="67"/>
    </row>
    <row r="73" spans="1:12">
      <c r="A73" s="64" t="s">
        <v>1504</v>
      </c>
      <c r="D73" s="64"/>
      <c r="E73" s="65"/>
      <c r="F73" s="65"/>
      <c r="G73" s="65"/>
      <c r="H73" s="67"/>
      <c r="I73" s="65"/>
      <c r="J73" s="67"/>
      <c r="K73" s="67"/>
    </row>
    <row r="74" spans="1:12">
      <c r="A74" s="63" t="s">
        <v>1505</v>
      </c>
      <c r="D74" s="63"/>
      <c r="E74" s="65"/>
      <c r="F74" s="65"/>
      <c r="G74" s="65"/>
      <c r="H74" s="67"/>
      <c r="I74" s="65"/>
      <c r="J74" s="67"/>
      <c r="K74" s="67"/>
    </row>
    <row r="75" spans="1:12">
      <c r="A75" s="63" t="s">
        <v>1506</v>
      </c>
      <c r="D75" s="63"/>
      <c r="E75" s="65"/>
      <c r="F75" s="65"/>
      <c r="G75" s="65"/>
      <c r="H75" s="67"/>
      <c r="I75" s="65"/>
      <c r="J75" s="67"/>
      <c r="K75" s="67"/>
    </row>
    <row r="76" spans="1:12">
      <c r="A76" s="63" t="s">
        <v>1507</v>
      </c>
      <c r="D76" s="63"/>
      <c r="E76" s="65"/>
      <c r="F76" s="65"/>
      <c r="G76" s="65"/>
      <c r="H76" s="67"/>
      <c r="I76" s="65"/>
      <c r="J76" s="67"/>
      <c r="K76" s="67"/>
    </row>
    <row r="77" spans="1:12">
      <c r="A77" s="63" t="s">
        <v>1508</v>
      </c>
      <c r="D77" s="63"/>
      <c r="E77" s="65"/>
      <c r="F77" s="65"/>
      <c r="G77" s="65"/>
      <c r="H77" s="67"/>
      <c r="I77" s="65"/>
      <c r="J77" s="67"/>
      <c r="K77" s="67"/>
    </row>
    <row r="78" spans="1:12">
      <c r="A78" s="63" t="s">
        <v>1509</v>
      </c>
      <c r="D78" s="63"/>
      <c r="E78" s="65"/>
      <c r="F78" s="65"/>
      <c r="G78" s="65"/>
      <c r="H78" s="67"/>
      <c r="I78" s="65"/>
      <c r="J78" s="67"/>
      <c r="K78" s="67"/>
    </row>
    <row r="79" spans="1:12">
      <c r="A79" s="63" t="s">
        <v>1510</v>
      </c>
      <c r="D79" s="63"/>
      <c r="E79" s="65"/>
      <c r="F79" s="65"/>
      <c r="G79" s="65"/>
      <c r="H79" s="67"/>
      <c r="I79" s="65"/>
      <c r="J79" s="67"/>
      <c r="K79" s="67"/>
    </row>
    <row r="80" spans="1:12">
      <c r="A80" s="63" t="s">
        <v>1511</v>
      </c>
      <c r="D80" s="63"/>
      <c r="E80" s="65"/>
      <c r="F80" s="65"/>
      <c r="G80" s="65"/>
      <c r="H80" s="67"/>
      <c r="I80" s="65"/>
      <c r="J80" s="67"/>
      <c r="K80" s="67"/>
    </row>
    <row r="81" spans="1:11">
      <c r="A81" s="63" t="s">
        <v>1512</v>
      </c>
      <c r="D81" s="63"/>
      <c r="E81" s="65"/>
      <c r="F81" s="65"/>
      <c r="G81" s="65"/>
      <c r="H81" s="67"/>
      <c r="I81" s="65"/>
      <c r="J81" s="67"/>
      <c r="K81" s="67"/>
    </row>
    <row r="82" spans="1:11">
      <c r="A82" s="63"/>
      <c r="D82" s="63"/>
      <c r="E82" s="65"/>
      <c r="F82" s="65"/>
      <c r="G82" s="65"/>
      <c r="H82" s="67"/>
      <c r="I82" s="65"/>
      <c r="J82" s="67"/>
      <c r="K82" s="67"/>
    </row>
    <row r="83" spans="1:11">
      <c r="A83" s="64" t="s">
        <v>1513</v>
      </c>
      <c r="D83" s="64"/>
      <c r="E83" s="65"/>
      <c r="F83" s="65"/>
      <c r="G83" s="65"/>
      <c r="H83" s="67"/>
      <c r="I83" s="65"/>
      <c r="J83" s="67"/>
      <c r="K83" s="67"/>
    </row>
    <row r="84" spans="1:11">
      <c r="A84" s="63" t="s">
        <v>1514</v>
      </c>
      <c r="D84" s="63"/>
      <c r="E84" s="65"/>
      <c r="F84" s="65"/>
      <c r="G84" s="65"/>
      <c r="H84" s="67"/>
      <c r="I84" s="65"/>
      <c r="J84" s="67"/>
      <c r="K84" s="67"/>
    </row>
    <row r="85" spans="1:11">
      <c r="A85" s="63" t="s">
        <v>1515</v>
      </c>
      <c r="D85" s="63"/>
      <c r="E85" s="65"/>
      <c r="F85" s="65"/>
      <c r="G85" s="65"/>
      <c r="H85" s="67"/>
      <c r="I85" s="65"/>
      <c r="J85" s="67"/>
      <c r="K85" s="67"/>
    </row>
    <row r="86" spans="1:11">
      <c r="A86" s="63" t="s">
        <v>1516</v>
      </c>
      <c r="D86" s="63"/>
      <c r="E86" s="65"/>
      <c r="F86" s="65"/>
      <c r="G86" s="65"/>
      <c r="H86" s="67"/>
      <c r="I86" s="65"/>
      <c r="J86" s="67"/>
      <c r="K86" s="67"/>
    </row>
    <row r="87" spans="1:11">
      <c r="A87" s="63" t="s">
        <v>1517</v>
      </c>
      <c r="D87" s="63"/>
      <c r="E87" s="65"/>
      <c r="F87" s="65"/>
      <c r="G87" s="65"/>
      <c r="H87" s="67"/>
      <c r="I87" s="65"/>
      <c r="J87" s="67"/>
      <c r="K87" s="67"/>
    </row>
    <row r="88" spans="1:11">
      <c r="A88" s="63" t="s">
        <v>1518</v>
      </c>
      <c r="D88" s="63"/>
      <c r="E88" s="65"/>
      <c r="F88" s="65"/>
      <c r="G88" s="65"/>
      <c r="H88" s="67"/>
      <c r="I88" s="65"/>
      <c r="J88" s="67"/>
      <c r="K88" s="67"/>
    </row>
    <row r="89" spans="1:11">
      <c r="A89" s="63" t="s">
        <v>1519</v>
      </c>
      <c r="D89" s="63"/>
      <c r="E89" s="65"/>
      <c r="F89" s="65"/>
      <c r="G89" s="65"/>
      <c r="H89" s="67"/>
      <c r="I89" s="65"/>
      <c r="J89" s="67"/>
      <c r="K89" s="67"/>
    </row>
    <row r="90" spans="1:11">
      <c r="A90" s="63" t="s">
        <v>1520</v>
      </c>
      <c r="D90" s="63"/>
      <c r="E90" s="65"/>
      <c r="F90" s="65"/>
      <c r="G90" s="65"/>
      <c r="H90" s="67"/>
      <c r="I90" s="65"/>
      <c r="J90" s="67"/>
      <c r="K90" s="67"/>
    </row>
    <row r="91" spans="1:11">
      <c r="A91" s="63" t="s">
        <v>1521</v>
      </c>
      <c r="D91" s="63"/>
      <c r="E91" s="65"/>
      <c r="F91" s="65"/>
      <c r="G91" s="65"/>
      <c r="H91" s="67"/>
      <c r="I91" s="65"/>
      <c r="J91" s="67"/>
      <c r="K91" s="67"/>
    </row>
    <row r="92" spans="1:11">
      <c r="A92" s="63" t="s">
        <v>1522</v>
      </c>
      <c r="D92" s="63"/>
      <c r="E92" s="65"/>
      <c r="F92" s="65"/>
      <c r="G92" s="65"/>
      <c r="H92" s="67"/>
      <c r="I92" s="65"/>
      <c r="J92" s="67"/>
      <c r="K92" s="67"/>
    </row>
    <row r="93" spans="1:11">
      <c r="A93" s="63" t="s">
        <v>1523</v>
      </c>
      <c r="D93" s="63"/>
      <c r="E93" s="65"/>
      <c r="F93" s="65"/>
      <c r="G93" s="65"/>
      <c r="H93" s="67"/>
      <c r="I93" s="65"/>
      <c r="J93" s="67"/>
      <c r="K93" s="67"/>
    </row>
    <row r="94" spans="1:11">
      <c r="A94" s="54" t="s">
        <v>1524</v>
      </c>
      <c r="D94" s="54"/>
    </row>
    <row r="95" spans="1:11">
      <c r="C95" s="54"/>
      <c r="D95" s="54"/>
    </row>
  </sheetData>
  <mergeCells count="2">
    <mergeCell ref="A5:A20"/>
    <mergeCell ref="A21:A68"/>
  </mergeCells>
  <hyperlinks>
    <hyperlink ref="J22" location="_edn1" display="_edn1" xr:uid="{00000000-0004-0000-0D00-000000000000}"/>
  </hyperlinks>
  <pageMargins left="0.7" right="0.7" top="0.75" bottom="0.75" header="0.3" footer="0.3"/>
  <pageSetup orientation="portrait" horizontalDpi="1200" verticalDpi="1200" r:id="rId1"/>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53"/>
  <sheetViews>
    <sheetView workbookViewId="0">
      <selection activeCell="G33" sqref="G33"/>
    </sheetView>
  </sheetViews>
  <sheetFormatPr defaultRowHeight="12.75"/>
  <cols>
    <col min="2" max="2" width="26.42578125" style="86" customWidth="1"/>
    <col min="3" max="3" width="23.85546875" customWidth="1"/>
    <col min="4" max="4" width="12.140625" customWidth="1"/>
    <col min="5" max="9" width="10.42578125" style="2" customWidth="1"/>
    <col min="10" max="10" width="9.5703125" style="60" customWidth="1"/>
    <col min="11" max="13" width="10.42578125" style="60" customWidth="1"/>
    <col min="14" max="14" width="10.42578125" style="2" customWidth="1"/>
    <col min="15" max="15" width="15.85546875" style="2" customWidth="1"/>
  </cols>
  <sheetData>
    <row r="1" spans="1:15" s="1" customFormat="1">
      <c r="B1" s="84"/>
      <c r="E1" s="292" t="s">
        <v>1525</v>
      </c>
      <c r="F1" s="255"/>
      <c r="G1" s="255"/>
      <c r="H1" s="255"/>
      <c r="I1" s="255"/>
      <c r="J1" s="255"/>
      <c r="K1" s="292" t="s">
        <v>1526</v>
      </c>
      <c r="L1" s="255"/>
      <c r="M1" s="58"/>
      <c r="N1" s="292" t="s">
        <v>1527</v>
      </c>
      <c r="O1" s="255"/>
    </row>
    <row r="2" spans="1:15" s="1" customFormat="1" ht="43.5" customHeight="1">
      <c r="A2" s="57" t="s">
        <v>1528</v>
      </c>
      <c r="B2" s="85" t="s">
        <v>853</v>
      </c>
      <c r="C2" s="1" t="s">
        <v>1529</v>
      </c>
      <c r="D2" s="76" t="s">
        <v>1530</v>
      </c>
      <c r="E2" s="57" t="s">
        <v>1531</v>
      </c>
      <c r="F2" s="57" t="s">
        <v>1532</v>
      </c>
      <c r="G2" s="57" t="s">
        <v>1533</v>
      </c>
      <c r="H2" s="66" t="s">
        <v>1140</v>
      </c>
      <c r="I2" s="57" t="s">
        <v>1141</v>
      </c>
      <c r="J2" s="57" t="s">
        <v>1142</v>
      </c>
      <c r="K2" s="66" t="s">
        <v>1534</v>
      </c>
      <c r="L2" s="66" t="s">
        <v>1535</v>
      </c>
      <c r="M2" s="66"/>
      <c r="N2" s="57" t="s">
        <v>1536</v>
      </c>
      <c r="O2" s="57" t="s">
        <v>1537</v>
      </c>
    </row>
    <row r="3" spans="1:15">
      <c r="A3" s="2">
        <v>1</v>
      </c>
      <c r="B3" s="86" t="str">
        <f t="shared" ref="B3" si="0">C3&amp;" "&amp;D3</f>
        <v xml:space="preserve">Vacant </v>
      </c>
      <c r="C3" t="s">
        <v>1147</v>
      </c>
      <c r="E3" s="77">
        <v>0</v>
      </c>
      <c r="F3" s="77">
        <v>6</v>
      </c>
      <c r="G3" s="78">
        <v>0.2</v>
      </c>
      <c r="H3" s="77">
        <f>E3/$D$35</f>
        <v>0</v>
      </c>
      <c r="I3" s="77">
        <f>F3/$D$35</f>
        <v>1.5850372483753368</v>
      </c>
      <c r="J3" s="60">
        <f>G3/$D$37</f>
        <v>0.88057624909740939</v>
      </c>
      <c r="K3" s="77">
        <v>0</v>
      </c>
      <c r="L3" s="77">
        <f t="shared" ref="L3" si="1">K3/$D$36</f>
        <v>0</v>
      </c>
      <c r="M3" s="77"/>
      <c r="N3" s="2">
        <v>0</v>
      </c>
      <c r="O3" s="2">
        <v>0</v>
      </c>
    </row>
    <row r="4" spans="1:15">
      <c r="A4" s="2">
        <v>2</v>
      </c>
      <c r="B4" s="86" t="str">
        <f>C4&amp;" "&amp;D4</f>
        <v>Office/Professional &lt; 30,000 ft²</v>
      </c>
      <c r="C4" t="s">
        <v>1538</v>
      </c>
      <c r="D4" s="27" t="s">
        <v>1539</v>
      </c>
      <c r="E4" s="77">
        <v>3.8</v>
      </c>
      <c r="F4" s="77">
        <v>6</v>
      </c>
      <c r="G4" s="78">
        <v>0.2</v>
      </c>
      <c r="H4" s="77">
        <f t="shared" ref="H4:H27" si="2">E4/$D$35</f>
        <v>1.0038569239710466</v>
      </c>
      <c r="I4" s="77">
        <f t="shared" ref="I4:I27" si="3">F4/$D$35</f>
        <v>1.5850372483753368</v>
      </c>
      <c r="J4" s="60">
        <f t="shared" ref="J4:J27" si="4">G4/$D$37</f>
        <v>0.88057624909740939</v>
      </c>
      <c r="K4" s="77">
        <v>26.1</v>
      </c>
      <c r="L4" s="77">
        <f>K4/$D$36</f>
        <v>55.308328035600766</v>
      </c>
      <c r="M4" s="77"/>
      <c r="N4" s="2" t="s">
        <v>1540</v>
      </c>
      <c r="O4" s="2">
        <v>3.8</v>
      </c>
    </row>
    <row r="5" spans="1:15">
      <c r="A5" s="2">
        <v>2</v>
      </c>
      <c r="B5" s="86" t="str">
        <f t="shared" ref="B5:B27" si="5">C5&amp;" "&amp;D5</f>
        <v>Office/Professional &gt; 30,000 ft²</v>
      </c>
      <c r="C5" t="s">
        <v>1538</v>
      </c>
      <c r="D5" s="27" t="s">
        <v>1541</v>
      </c>
      <c r="E5" s="77">
        <v>3.8</v>
      </c>
      <c r="F5" s="77">
        <v>6</v>
      </c>
      <c r="G5" s="78">
        <v>0.2</v>
      </c>
      <c r="H5" s="77">
        <f t="shared" si="2"/>
        <v>1.0038569239710466</v>
      </c>
      <c r="I5" s="77">
        <f t="shared" si="3"/>
        <v>1.5850372483753368</v>
      </c>
      <c r="J5" s="60">
        <f t="shared" si="4"/>
        <v>0.88057624909740939</v>
      </c>
      <c r="K5" s="78">
        <v>21.4</v>
      </c>
      <c r="L5" s="77">
        <f t="shared" ref="L5:L27" si="6">K5/$D$36</f>
        <v>45.348590803136254</v>
      </c>
      <c r="M5" s="77"/>
      <c r="N5" s="2" t="s">
        <v>1540</v>
      </c>
      <c r="O5" s="2">
        <v>3.8</v>
      </c>
    </row>
    <row r="6" spans="1:15">
      <c r="A6" s="2">
        <v>4</v>
      </c>
      <c r="B6" s="86" t="str">
        <f t="shared" si="5"/>
        <v xml:space="preserve">Laboratory  </v>
      </c>
      <c r="C6" t="s">
        <v>1542</v>
      </c>
      <c r="E6" s="77">
        <v>38</v>
      </c>
      <c r="F6" s="77">
        <v>30</v>
      </c>
      <c r="G6" s="77">
        <v>2</v>
      </c>
      <c r="H6" s="77">
        <f t="shared" si="2"/>
        <v>10.038569239710466</v>
      </c>
      <c r="I6" s="77">
        <f t="shared" si="3"/>
        <v>7.9251862418766841</v>
      </c>
      <c r="J6" s="60">
        <f t="shared" si="4"/>
        <v>8.805762490974093</v>
      </c>
      <c r="K6" s="77">
        <v>18.7</v>
      </c>
      <c r="L6" s="77">
        <f t="shared" si="6"/>
        <v>39.627039627039629</v>
      </c>
      <c r="M6" s="77"/>
      <c r="N6" s="2">
        <v>39.6</v>
      </c>
      <c r="O6" s="2">
        <v>38</v>
      </c>
    </row>
    <row r="7" spans="1:15">
      <c r="A7" s="2">
        <v>5</v>
      </c>
      <c r="B7" s="86" t="str">
        <f t="shared" si="5"/>
        <v xml:space="preserve">Nonrefrigerated warehouse </v>
      </c>
      <c r="C7" t="s">
        <v>1152</v>
      </c>
      <c r="E7" s="77">
        <v>2.2999999999999998</v>
      </c>
      <c r="F7" s="77">
        <v>6</v>
      </c>
      <c r="G7" s="77">
        <v>0.2</v>
      </c>
      <c r="H7" s="77">
        <f t="shared" si="2"/>
        <v>0.6075976118772124</v>
      </c>
      <c r="I7" s="77">
        <f t="shared" si="3"/>
        <v>1.5850372483753368</v>
      </c>
      <c r="J7" s="60">
        <f t="shared" si="4"/>
        <v>0.88057624909740939</v>
      </c>
      <c r="K7" s="77">
        <v>5</v>
      </c>
      <c r="L7" s="77">
        <f t="shared" si="6"/>
        <v>10.595465140919687</v>
      </c>
      <c r="M7" s="77"/>
      <c r="N7" s="2">
        <v>10.6</v>
      </c>
      <c r="O7" s="2">
        <v>2.2999999999999998</v>
      </c>
    </row>
    <row r="8" spans="1:15">
      <c r="A8" s="2">
        <v>6</v>
      </c>
      <c r="B8" s="86" t="str">
        <f t="shared" si="5"/>
        <v xml:space="preserve">Food sales </v>
      </c>
      <c r="C8" t="s">
        <v>1155</v>
      </c>
      <c r="E8" s="77">
        <v>19</v>
      </c>
      <c r="F8" s="77">
        <v>30</v>
      </c>
      <c r="G8" s="77">
        <v>1</v>
      </c>
      <c r="H8" s="77">
        <f t="shared" si="2"/>
        <v>5.0192846198552328</v>
      </c>
      <c r="I8" s="77">
        <f t="shared" si="3"/>
        <v>7.9251862418766841</v>
      </c>
      <c r="J8" s="60">
        <f t="shared" si="4"/>
        <v>4.4028812454870465</v>
      </c>
      <c r="K8" s="77">
        <v>18.7</v>
      </c>
      <c r="L8" s="77">
        <f t="shared" si="6"/>
        <v>39.627039627039629</v>
      </c>
      <c r="M8" s="77"/>
      <c r="N8" s="2">
        <v>39.6</v>
      </c>
      <c r="O8" s="2">
        <v>19</v>
      </c>
    </row>
    <row r="9" spans="1:15">
      <c r="A9" s="2">
        <v>7</v>
      </c>
      <c r="B9" s="86" t="str">
        <f t="shared" si="5"/>
        <v xml:space="preserve">Public order and safety </v>
      </c>
      <c r="C9" t="s">
        <v>1159</v>
      </c>
      <c r="E9" s="77">
        <v>3.8</v>
      </c>
      <c r="F9" s="77">
        <v>6</v>
      </c>
      <c r="G9" s="77">
        <v>0.2</v>
      </c>
      <c r="H9" s="77">
        <f t="shared" si="2"/>
        <v>1.0038569239710466</v>
      </c>
      <c r="I9" s="77">
        <f t="shared" si="3"/>
        <v>1.5850372483753368</v>
      </c>
      <c r="J9" s="60">
        <f t="shared" si="4"/>
        <v>0.88057624909740939</v>
      </c>
      <c r="K9" s="77">
        <v>18.7</v>
      </c>
      <c r="L9" s="77">
        <f t="shared" si="6"/>
        <v>39.627039627039629</v>
      </c>
      <c r="M9" s="77"/>
      <c r="N9" s="2">
        <v>39.6</v>
      </c>
      <c r="O9" s="2">
        <v>3.8</v>
      </c>
    </row>
    <row r="10" spans="1:15">
      <c r="A10" s="2">
        <v>8</v>
      </c>
      <c r="B10" s="86" t="str">
        <f t="shared" si="5"/>
        <v xml:space="preserve">Outpatient health care  </v>
      </c>
      <c r="C10" t="s">
        <v>1543</v>
      </c>
      <c r="E10" s="77">
        <v>11.4</v>
      </c>
      <c r="F10" s="77">
        <v>18</v>
      </c>
      <c r="G10" s="77">
        <v>0.6</v>
      </c>
      <c r="H10" s="77">
        <f t="shared" si="2"/>
        <v>3.0115707719131399</v>
      </c>
      <c r="I10" s="77">
        <f t="shared" si="3"/>
        <v>4.7551117451260101</v>
      </c>
      <c r="J10" s="60">
        <f t="shared" si="4"/>
        <v>2.6417287472922282</v>
      </c>
      <c r="K10" s="77">
        <v>18.7</v>
      </c>
      <c r="L10" s="77">
        <f t="shared" si="6"/>
        <v>39.627039627039629</v>
      </c>
      <c r="M10" s="77"/>
      <c r="N10" s="2">
        <v>39.6</v>
      </c>
      <c r="O10" s="2">
        <v>11.4</v>
      </c>
    </row>
    <row r="11" spans="1:15">
      <c r="A11" s="2">
        <v>11</v>
      </c>
      <c r="B11" s="86" t="str">
        <f t="shared" si="5"/>
        <v xml:space="preserve">Refrigerated warehouse </v>
      </c>
      <c r="C11" t="s">
        <v>1165</v>
      </c>
      <c r="E11" s="77">
        <v>2.2999999999999998</v>
      </c>
      <c r="F11" s="77">
        <v>5</v>
      </c>
      <c r="G11" s="77">
        <v>0.2</v>
      </c>
      <c r="H11" s="77">
        <f t="shared" si="2"/>
        <v>0.6075976118772124</v>
      </c>
      <c r="I11" s="77">
        <f t="shared" si="3"/>
        <v>1.3208643736461141</v>
      </c>
      <c r="J11" s="60">
        <f t="shared" si="4"/>
        <v>0.88057624909740939</v>
      </c>
      <c r="K11" s="77">
        <v>2</v>
      </c>
      <c r="L11" s="77">
        <f t="shared" si="6"/>
        <v>4.2381860563678746</v>
      </c>
      <c r="M11" s="77"/>
      <c r="N11" s="2">
        <v>4.2</v>
      </c>
      <c r="O11" s="2">
        <v>2.2999999999999998</v>
      </c>
    </row>
    <row r="12" spans="1:15">
      <c r="A12" s="2">
        <v>12</v>
      </c>
      <c r="B12" s="86" t="str">
        <f t="shared" si="5"/>
        <v xml:space="preserve">Religious worship </v>
      </c>
      <c r="C12" t="s">
        <v>1168</v>
      </c>
      <c r="E12" s="77">
        <v>1</v>
      </c>
      <c r="F12" s="77">
        <v>2</v>
      </c>
      <c r="G12" s="77">
        <v>0.1</v>
      </c>
      <c r="H12" s="77">
        <f t="shared" si="2"/>
        <v>0.2641728747292228</v>
      </c>
      <c r="I12" s="77">
        <f t="shared" si="3"/>
        <v>0.52834574945844559</v>
      </c>
      <c r="J12" s="60">
        <f t="shared" si="4"/>
        <v>0.4402881245487047</v>
      </c>
      <c r="K12" s="77">
        <v>18.7</v>
      </c>
      <c r="L12" s="77">
        <f t="shared" si="6"/>
        <v>39.627039627039629</v>
      </c>
      <c r="M12" s="77"/>
      <c r="N12" s="2">
        <v>39.6</v>
      </c>
      <c r="O12" s="2">
        <v>1</v>
      </c>
    </row>
    <row r="13" spans="1:15">
      <c r="A13" s="2">
        <v>13</v>
      </c>
      <c r="B13" s="86" t="str">
        <f t="shared" si="5"/>
        <v xml:space="preserve">Public assembly </v>
      </c>
      <c r="C13" t="s">
        <v>1170</v>
      </c>
      <c r="E13" s="77">
        <v>1</v>
      </c>
      <c r="F13" s="77">
        <v>2</v>
      </c>
      <c r="G13" s="77">
        <v>0.1</v>
      </c>
      <c r="H13" s="77">
        <f t="shared" si="2"/>
        <v>0.2641728747292228</v>
      </c>
      <c r="I13" s="77">
        <f t="shared" si="3"/>
        <v>0.52834574945844559</v>
      </c>
      <c r="J13" s="60">
        <f t="shared" si="4"/>
        <v>0.4402881245487047</v>
      </c>
      <c r="K13" s="77">
        <v>18.7</v>
      </c>
      <c r="L13" s="77">
        <f t="shared" si="6"/>
        <v>39.627039627039629</v>
      </c>
      <c r="M13" s="77"/>
      <c r="N13" s="2">
        <v>39.6</v>
      </c>
      <c r="O13" s="2">
        <v>1</v>
      </c>
    </row>
    <row r="14" spans="1:15">
      <c r="A14" s="2">
        <v>14</v>
      </c>
      <c r="B14" s="86" t="str">
        <f t="shared" si="5"/>
        <v>Education college</v>
      </c>
      <c r="C14" s="27" t="s">
        <v>1174</v>
      </c>
      <c r="D14" s="27" t="s">
        <v>1544</v>
      </c>
      <c r="E14" s="77">
        <v>2.2999999999999998</v>
      </c>
      <c r="F14" s="77">
        <v>6</v>
      </c>
      <c r="G14" s="77">
        <v>0.2</v>
      </c>
      <c r="H14" s="77">
        <f t="shared" si="2"/>
        <v>0.6075976118772124</v>
      </c>
      <c r="I14" s="77">
        <f t="shared" si="3"/>
        <v>1.5850372483753368</v>
      </c>
      <c r="J14" s="60">
        <f t="shared" si="4"/>
        <v>0.88057624909740939</v>
      </c>
      <c r="K14" s="77">
        <v>6.3</v>
      </c>
      <c r="L14" s="77">
        <f t="shared" si="6"/>
        <v>13.350286077558804</v>
      </c>
      <c r="M14" s="77"/>
      <c r="N14" s="2">
        <v>13.4</v>
      </c>
      <c r="O14" s="2" t="s">
        <v>1545</v>
      </c>
    </row>
    <row r="15" spans="1:15">
      <c r="A15" s="2">
        <v>14</v>
      </c>
      <c r="B15" s="86" t="str">
        <f t="shared" si="5"/>
        <v>Education elementary</v>
      </c>
      <c r="C15" s="27" t="s">
        <v>1174</v>
      </c>
      <c r="D15" s="27" t="s">
        <v>1546</v>
      </c>
      <c r="E15" s="77">
        <v>2.2999999999999998</v>
      </c>
      <c r="F15" s="77">
        <v>6</v>
      </c>
      <c r="G15" s="77">
        <v>0.2</v>
      </c>
      <c r="H15" s="77">
        <f t="shared" si="2"/>
        <v>0.6075976118772124</v>
      </c>
      <c r="I15" s="77">
        <f t="shared" si="3"/>
        <v>1.5850372483753368</v>
      </c>
      <c r="J15" s="60">
        <f t="shared" si="4"/>
        <v>0.88057624909740939</v>
      </c>
      <c r="K15" s="77">
        <v>6.3</v>
      </c>
      <c r="L15" s="77">
        <f t="shared" si="6"/>
        <v>13.350286077558804</v>
      </c>
      <c r="M15" s="77"/>
    </row>
    <row r="16" spans="1:15">
      <c r="A16" s="2">
        <v>14</v>
      </c>
      <c r="B16" s="86" t="str">
        <f t="shared" si="5"/>
        <v>Education high school</v>
      </c>
      <c r="C16" s="27" t="s">
        <v>1174</v>
      </c>
      <c r="D16" s="27" t="s">
        <v>1547</v>
      </c>
      <c r="E16" s="77">
        <v>6.8</v>
      </c>
      <c r="F16" s="77">
        <v>12</v>
      </c>
      <c r="G16" s="77">
        <v>0.4</v>
      </c>
      <c r="H16" s="77">
        <f t="shared" si="2"/>
        <v>1.7963755481587149</v>
      </c>
      <c r="I16" s="77">
        <f t="shared" si="3"/>
        <v>3.1700744967506735</v>
      </c>
      <c r="J16" s="60">
        <f t="shared" si="4"/>
        <v>1.7611524981948188</v>
      </c>
      <c r="K16" s="77">
        <v>6.3</v>
      </c>
      <c r="L16" s="77">
        <f t="shared" si="6"/>
        <v>13.350286077558804</v>
      </c>
      <c r="M16" s="77"/>
    </row>
    <row r="17" spans="1:15">
      <c r="A17" s="2">
        <v>14</v>
      </c>
      <c r="B17" s="86" t="str">
        <f t="shared" si="5"/>
        <v>Education pre-school</v>
      </c>
      <c r="C17" s="27" t="s">
        <v>1174</v>
      </c>
      <c r="D17" s="27" t="s">
        <v>1548</v>
      </c>
      <c r="E17" s="77">
        <v>2.2999999999999998</v>
      </c>
      <c r="F17" s="77">
        <v>6</v>
      </c>
      <c r="G17" s="77">
        <v>0.2</v>
      </c>
      <c r="H17" s="77">
        <f t="shared" si="2"/>
        <v>0.6075976118772124</v>
      </c>
      <c r="I17" s="77">
        <f t="shared" si="3"/>
        <v>1.5850372483753368</v>
      </c>
      <c r="J17" s="60">
        <f t="shared" si="4"/>
        <v>0.88057624909740939</v>
      </c>
      <c r="K17" s="77">
        <v>6.3</v>
      </c>
      <c r="L17" s="77">
        <f t="shared" si="6"/>
        <v>13.350286077558804</v>
      </c>
      <c r="M17" s="77"/>
    </row>
    <row r="18" spans="1:15">
      <c r="A18" s="2">
        <v>15</v>
      </c>
      <c r="B18" s="86" t="str">
        <f t="shared" si="5"/>
        <v xml:space="preserve">Food service </v>
      </c>
      <c r="C18" t="s">
        <v>1177</v>
      </c>
      <c r="E18" s="77">
        <v>38</v>
      </c>
      <c r="F18" s="77">
        <v>60</v>
      </c>
      <c r="G18" s="77">
        <v>2</v>
      </c>
      <c r="H18" s="77">
        <f t="shared" si="2"/>
        <v>10.038569239710466</v>
      </c>
      <c r="I18" s="77">
        <f t="shared" si="3"/>
        <v>15.850372483753368</v>
      </c>
      <c r="J18" s="60">
        <f t="shared" si="4"/>
        <v>8.805762490974093</v>
      </c>
      <c r="K18" s="77">
        <v>18.7</v>
      </c>
      <c r="L18" s="77">
        <f t="shared" si="6"/>
        <v>39.627039627039629</v>
      </c>
      <c r="M18" s="77"/>
      <c r="N18" s="2">
        <v>39.6</v>
      </c>
      <c r="O18" s="2">
        <v>38</v>
      </c>
    </row>
    <row r="19" spans="1:15">
      <c r="A19" s="2">
        <v>16</v>
      </c>
      <c r="B19" s="86" t="str">
        <f t="shared" si="5"/>
        <v xml:space="preserve">Inpatient health care </v>
      </c>
      <c r="C19" t="s">
        <v>1180</v>
      </c>
      <c r="E19" s="77">
        <v>11.4</v>
      </c>
      <c r="F19" s="77">
        <v>18</v>
      </c>
      <c r="G19" s="77">
        <v>0.6</v>
      </c>
      <c r="H19" s="77">
        <f t="shared" si="2"/>
        <v>3.0115707719131399</v>
      </c>
      <c r="I19" s="77">
        <f t="shared" si="3"/>
        <v>4.7551117451260101</v>
      </c>
      <c r="J19" s="60">
        <f t="shared" si="4"/>
        <v>2.6417287472922282</v>
      </c>
      <c r="K19" s="77">
        <v>18.7</v>
      </c>
      <c r="L19" s="77">
        <f t="shared" si="6"/>
        <v>39.627039627039629</v>
      </c>
      <c r="M19" s="77"/>
      <c r="N19" s="2">
        <v>39.6</v>
      </c>
      <c r="O19" s="2">
        <v>11.4</v>
      </c>
    </row>
    <row r="20" spans="1:15">
      <c r="A20" s="2">
        <v>17</v>
      </c>
      <c r="B20" s="86" t="str">
        <f t="shared" si="5"/>
        <v xml:space="preserve">Skilled nursing  </v>
      </c>
      <c r="C20" t="s">
        <v>1549</v>
      </c>
      <c r="E20" s="77">
        <v>11.4</v>
      </c>
      <c r="F20" s="77">
        <v>18</v>
      </c>
      <c r="G20" s="77">
        <v>0.6</v>
      </c>
      <c r="H20" s="77">
        <f t="shared" si="2"/>
        <v>3.0115707719131399</v>
      </c>
      <c r="I20" s="77">
        <f t="shared" si="3"/>
        <v>4.7551117451260101</v>
      </c>
      <c r="J20" s="60">
        <f t="shared" si="4"/>
        <v>2.6417287472922282</v>
      </c>
      <c r="K20" s="77">
        <v>18.7</v>
      </c>
      <c r="L20" s="77">
        <f t="shared" si="6"/>
        <v>39.627039627039629</v>
      </c>
      <c r="M20" s="77"/>
      <c r="N20" s="2">
        <v>39.6</v>
      </c>
      <c r="O20" s="2">
        <v>11.4</v>
      </c>
    </row>
    <row r="21" spans="1:15">
      <c r="A21" s="2">
        <v>25</v>
      </c>
      <c r="B21" s="86" t="str">
        <f t="shared" si="5"/>
        <v xml:space="preserve">Retail </v>
      </c>
      <c r="C21" s="27" t="s">
        <v>68</v>
      </c>
      <c r="E21" s="77">
        <v>2.2999999999999998</v>
      </c>
      <c r="F21" s="77">
        <v>4</v>
      </c>
      <c r="G21" s="77">
        <v>0.2</v>
      </c>
      <c r="H21" s="77">
        <f t="shared" si="2"/>
        <v>0.6075976118772124</v>
      </c>
      <c r="I21" s="77">
        <f t="shared" si="3"/>
        <v>1.0566914989168912</v>
      </c>
      <c r="J21" s="60">
        <f t="shared" si="4"/>
        <v>0.88057624909740939</v>
      </c>
      <c r="K21" s="77">
        <v>18.7</v>
      </c>
      <c r="L21" s="77">
        <f t="shared" si="6"/>
        <v>39.627039627039629</v>
      </c>
      <c r="M21" s="77"/>
      <c r="N21" s="2">
        <v>39.6</v>
      </c>
      <c r="O21" s="2">
        <v>2.2999999999999998</v>
      </c>
    </row>
    <row r="22" spans="1:15">
      <c r="A22" s="2">
        <v>26</v>
      </c>
      <c r="B22" s="86" t="str">
        <f t="shared" si="5"/>
        <v xml:space="preserve">Service </v>
      </c>
      <c r="C22" s="27" t="s">
        <v>1550</v>
      </c>
      <c r="E22" s="77">
        <v>3.8</v>
      </c>
      <c r="F22" s="77">
        <v>6</v>
      </c>
      <c r="G22" s="77">
        <v>0.2</v>
      </c>
      <c r="H22" s="77">
        <f t="shared" si="2"/>
        <v>1.0038569239710466</v>
      </c>
      <c r="I22" s="77">
        <f t="shared" si="3"/>
        <v>1.5850372483753368</v>
      </c>
      <c r="J22" s="60">
        <f t="shared" si="4"/>
        <v>0.88057624909740939</v>
      </c>
      <c r="K22" s="77">
        <v>18.7</v>
      </c>
      <c r="L22" s="77">
        <f t="shared" si="6"/>
        <v>39.627039627039629</v>
      </c>
      <c r="M22" s="77"/>
      <c r="N22" s="2">
        <v>39.6</v>
      </c>
      <c r="O22" s="2">
        <v>3.8</v>
      </c>
    </row>
    <row r="23" spans="1:15">
      <c r="A23" s="2">
        <v>91</v>
      </c>
      <c r="B23" s="86" t="str">
        <f t="shared" si="5"/>
        <v xml:space="preserve">Other </v>
      </c>
      <c r="C23" t="s">
        <v>867</v>
      </c>
      <c r="E23" s="77">
        <v>3.8</v>
      </c>
      <c r="F23" s="77">
        <v>6</v>
      </c>
      <c r="G23" s="77">
        <v>0.2</v>
      </c>
      <c r="H23" s="77">
        <f t="shared" si="2"/>
        <v>1.0038569239710466</v>
      </c>
      <c r="I23" s="77">
        <f t="shared" si="3"/>
        <v>1.5850372483753368</v>
      </c>
      <c r="J23" s="60">
        <f t="shared" si="4"/>
        <v>0.88057624909740939</v>
      </c>
      <c r="K23" s="77">
        <v>18.7</v>
      </c>
      <c r="L23" s="77">
        <f t="shared" si="6"/>
        <v>39.627039627039629</v>
      </c>
      <c r="M23" s="77"/>
      <c r="N23" s="2">
        <v>39.6</v>
      </c>
      <c r="O23" s="2">
        <v>3.8</v>
      </c>
    </row>
    <row r="24" spans="1:15">
      <c r="A24" s="2"/>
      <c r="B24" s="86" t="str">
        <f t="shared" si="5"/>
        <v xml:space="preserve">(do not select) </v>
      </c>
      <c r="C24" t="s">
        <v>1551</v>
      </c>
      <c r="E24" s="78" t="s">
        <v>1552</v>
      </c>
      <c r="F24" s="78"/>
      <c r="G24" s="78"/>
      <c r="H24" s="78" t="s">
        <v>1553</v>
      </c>
      <c r="I24" s="78"/>
      <c r="J24"/>
      <c r="K24" s="77"/>
      <c r="L24" s="77"/>
      <c r="M24" s="77"/>
    </row>
    <row r="25" spans="1:15">
      <c r="A25" s="2">
        <v>18</v>
      </c>
      <c r="B25" s="86" t="str">
        <f t="shared" si="5"/>
        <v>Lodging &lt; 20 rooms</v>
      </c>
      <c r="C25" t="s">
        <v>492</v>
      </c>
      <c r="D25" s="27" t="s">
        <v>1554</v>
      </c>
      <c r="E25" s="77">
        <v>75.8</v>
      </c>
      <c r="F25" s="77">
        <v>50</v>
      </c>
      <c r="G25" s="77">
        <v>3</v>
      </c>
      <c r="H25" s="77">
        <f t="shared" si="2"/>
        <v>20.024303904475087</v>
      </c>
      <c r="I25" s="77">
        <f t="shared" si="3"/>
        <v>13.20864373646114</v>
      </c>
      <c r="J25" s="60">
        <f t="shared" si="4"/>
        <v>13.208643736461141</v>
      </c>
      <c r="K25" s="77">
        <v>18.7</v>
      </c>
      <c r="L25" s="77">
        <f t="shared" si="6"/>
        <v>39.627039627039629</v>
      </c>
      <c r="M25" s="77"/>
      <c r="N25" s="2">
        <v>39.6</v>
      </c>
      <c r="O25" s="56" t="s">
        <v>1555</v>
      </c>
    </row>
    <row r="26" spans="1:15">
      <c r="A26" s="2">
        <v>18</v>
      </c>
      <c r="B26" s="86" t="str">
        <f t="shared" si="5"/>
        <v>Lodging 20-100 rooms</v>
      </c>
      <c r="C26" t="s">
        <v>492</v>
      </c>
      <c r="D26" s="27" t="s">
        <v>1556</v>
      </c>
      <c r="E26" s="77">
        <v>53.1</v>
      </c>
      <c r="F26" s="77">
        <v>50</v>
      </c>
      <c r="G26" s="77">
        <v>3</v>
      </c>
      <c r="H26" s="77">
        <f t="shared" si="2"/>
        <v>14.027579648121732</v>
      </c>
      <c r="I26" s="77">
        <f t="shared" si="3"/>
        <v>13.20864373646114</v>
      </c>
      <c r="J26" s="60">
        <f t="shared" si="4"/>
        <v>13.208643736461141</v>
      </c>
      <c r="K26" s="77">
        <v>18.7</v>
      </c>
      <c r="L26" s="77">
        <f t="shared" si="6"/>
        <v>39.627039627039629</v>
      </c>
      <c r="M26" s="77"/>
      <c r="N26" s="2">
        <v>39.6</v>
      </c>
      <c r="O26" s="2" t="s">
        <v>1555</v>
      </c>
    </row>
    <row r="27" spans="1:15">
      <c r="A27" s="2">
        <v>18</v>
      </c>
      <c r="B27" s="86" t="str">
        <f t="shared" si="5"/>
        <v>Lodging &gt;100 rooms</v>
      </c>
      <c r="C27" t="s">
        <v>492</v>
      </c>
      <c r="D27" s="27" t="s">
        <v>1557</v>
      </c>
      <c r="E27" s="77">
        <v>37.9</v>
      </c>
      <c r="F27" s="77">
        <v>50</v>
      </c>
      <c r="G27" s="77">
        <v>3</v>
      </c>
      <c r="H27" s="77">
        <f t="shared" si="2"/>
        <v>10.012151952237543</v>
      </c>
      <c r="I27" s="77">
        <f t="shared" si="3"/>
        <v>13.20864373646114</v>
      </c>
      <c r="J27" s="60">
        <f t="shared" si="4"/>
        <v>13.208643736461141</v>
      </c>
      <c r="K27" s="77">
        <v>18.7</v>
      </c>
      <c r="L27" s="77">
        <f t="shared" si="6"/>
        <v>39.627039627039629</v>
      </c>
      <c r="M27" s="77"/>
      <c r="N27" s="2">
        <v>39.6</v>
      </c>
      <c r="O27" s="2" t="s">
        <v>1555</v>
      </c>
    </row>
    <row r="29" spans="1:15">
      <c r="A29" s="27" t="s">
        <v>394</v>
      </c>
      <c r="B29" s="54"/>
    </row>
    <row r="30" spans="1:15">
      <c r="A30" s="27">
        <v>1</v>
      </c>
      <c r="B30" s="54"/>
      <c r="C30" s="27" t="s">
        <v>1558</v>
      </c>
    </row>
    <row r="31" spans="1:15">
      <c r="A31" s="27">
        <v>2</v>
      </c>
      <c r="B31" s="54"/>
      <c r="C31" s="27" t="s">
        <v>1559</v>
      </c>
    </row>
    <row r="34" spans="1:7">
      <c r="A34" s="27" t="s">
        <v>1560</v>
      </c>
      <c r="B34" s="54"/>
    </row>
    <row r="35" spans="1:7">
      <c r="C35" s="27" t="s">
        <v>1561</v>
      </c>
      <c r="D35">
        <v>3.7854000000000001</v>
      </c>
    </row>
    <row r="36" spans="1:7">
      <c r="C36" s="27" t="s">
        <v>1562</v>
      </c>
      <c r="D36">
        <v>0.47189999999999999</v>
      </c>
    </row>
    <row r="37" spans="1:7">
      <c r="C37" s="27" t="s">
        <v>1563</v>
      </c>
      <c r="D37">
        <f>(D35/1000)*60</f>
        <v>0.22712399999999999</v>
      </c>
      <c r="E37"/>
    </row>
    <row r="39" spans="1:7" ht="15">
      <c r="F39" s="53" t="s">
        <v>394</v>
      </c>
      <c r="G39"/>
    </row>
    <row r="40" spans="1:7">
      <c r="G40"/>
    </row>
    <row r="41" spans="1:7">
      <c r="F41" s="2">
        <v>1</v>
      </c>
      <c r="G41" t="s">
        <v>1564</v>
      </c>
    </row>
    <row r="42" spans="1:7">
      <c r="G42" t="s">
        <v>1565</v>
      </c>
    </row>
    <row r="43" spans="1:7">
      <c r="G43" t="s">
        <v>1566</v>
      </c>
    </row>
    <row r="44" spans="1:7">
      <c r="G44" t="s">
        <v>1567</v>
      </c>
    </row>
    <row r="45" spans="1:7">
      <c r="G45"/>
    </row>
    <row r="46" spans="1:7">
      <c r="F46" s="2">
        <v>2</v>
      </c>
      <c r="G46" t="s">
        <v>1568</v>
      </c>
    </row>
    <row r="47" spans="1:7">
      <c r="G47" t="s">
        <v>1569</v>
      </c>
    </row>
    <row r="48" spans="1:7">
      <c r="G48" t="s">
        <v>1570</v>
      </c>
    </row>
    <row r="49" spans="6:7">
      <c r="G49"/>
    </row>
    <row r="50" spans="6:7">
      <c r="F50" s="2">
        <v>3</v>
      </c>
      <c r="G50" t="s">
        <v>1571</v>
      </c>
    </row>
    <row r="51" spans="6:7">
      <c r="G51" t="s">
        <v>1572</v>
      </c>
    </row>
    <row r="52" spans="6:7">
      <c r="G52"/>
    </row>
    <row r="53" spans="6:7">
      <c r="F53" s="2" t="s">
        <v>45</v>
      </c>
      <c r="G53" t="s">
        <v>1573</v>
      </c>
    </row>
  </sheetData>
  <sortState xmlns:xlrd2="http://schemas.microsoft.com/office/spreadsheetml/2017/richdata2" ref="A3:E22">
    <sortCondition ref="A3:A22"/>
  </sortState>
  <mergeCells count="3">
    <mergeCell ref="E1:J1"/>
    <mergeCell ref="K1:L1"/>
    <mergeCell ref="N1:O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52"/>
  <sheetViews>
    <sheetView workbookViewId="0">
      <selection activeCell="A2" sqref="A2"/>
    </sheetView>
  </sheetViews>
  <sheetFormatPr defaultRowHeight="12.75"/>
  <cols>
    <col min="1" max="1" width="30.42578125" bestFit="1" customWidth="1"/>
    <col min="5" max="5" width="7.7109375" customWidth="1"/>
    <col min="8" max="8" width="27.7109375" bestFit="1" customWidth="1"/>
    <col min="9" max="9" width="13" customWidth="1"/>
    <col min="10" max="10" width="12.85546875" customWidth="1"/>
    <col min="11" max="11" width="13.85546875" customWidth="1"/>
    <col min="12" max="12" width="15.140625" customWidth="1"/>
  </cols>
  <sheetData>
    <row r="1" spans="1:12" s="29" customFormat="1" ht="48" customHeight="1">
      <c r="A1" s="293" t="s">
        <v>1574</v>
      </c>
      <c r="B1" s="293"/>
      <c r="C1" s="31" t="s">
        <v>23</v>
      </c>
      <c r="D1" s="36" t="s">
        <v>1575</v>
      </c>
      <c r="E1" s="36" t="s">
        <v>1576</v>
      </c>
      <c r="F1" s="31" t="s">
        <v>1577</v>
      </c>
      <c r="G1" s="31"/>
      <c r="H1" s="31"/>
      <c r="I1" s="42" t="s">
        <v>1578</v>
      </c>
      <c r="J1" s="43" t="s">
        <v>1579</v>
      </c>
      <c r="K1" s="43" t="s">
        <v>1580</v>
      </c>
      <c r="L1" s="42" t="s">
        <v>1581</v>
      </c>
    </row>
    <row r="2" spans="1:12" ht="15">
      <c r="A2" s="34" t="s">
        <v>1147</v>
      </c>
      <c r="B2" s="40">
        <v>0.59732521490401869</v>
      </c>
      <c r="C2" s="39">
        <v>2</v>
      </c>
      <c r="D2" s="39">
        <v>5.9</v>
      </c>
      <c r="E2" s="37">
        <v>0.54807444262919258</v>
      </c>
      <c r="F2" s="39">
        <v>1</v>
      </c>
      <c r="G2" s="37"/>
      <c r="H2" s="34" t="s">
        <v>1147</v>
      </c>
      <c r="I2" s="39">
        <v>0</v>
      </c>
      <c r="J2" s="39">
        <v>0</v>
      </c>
      <c r="K2" s="39">
        <v>0</v>
      </c>
      <c r="L2" s="39">
        <v>0</v>
      </c>
    </row>
    <row r="3" spans="1:12" ht="15">
      <c r="A3" s="34" t="s">
        <v>1150</v>
      </c>
      <c r="B3" s="40">
        <v>2.019551167345758</v>
      </c>
      <c r="C3" s="39">
        <v>2</v>
      </c>
      <c r="D3" s="39">
        <v>8.3000000000000007</v>
      </c>
      <c r="E3" s="37">
        <v>0.771019978613949</v>
      </c>
      <c r="F3" s="39">
        <v>1</v>
      </c>
      <c r="G3" s="37"/>
      <c r="H3" s="38" t="s">
        <v>1582</v>
      </c>
      <c r="I3" s="39">
        <v>7.0000000000000007E-2</v>
      </c>
      <c r="J3" s="39">
        <v>0.04</v>
      </c>
      <c r="K3" s="41">
        <v>0.13647999999999999</v>
      </c>
      <c r="L3" s="39">
        <v>2E-3</v>
      </c>
    </row>
    <row r="4" spans="1:12" ht="15">
      <c r="A4" s="34" t="s">
        <v>1199</v>
      </c>
      <c r="B4" s="40">
        <v>2.2548424958499393</v>
      </c>
      <c r="C4" s="39">
        <v>2</v>
      </c>
      <c r="D4" s="39">
        <v>8.3000000000000007</v>
      </c>
      <c r="E4" s="37">
        <v>0.771019978613949</v>
      </c>
      <c r="F4" s="39">
        <v>1</v>
      </c>
      <c r="G4" s="37"/>
      <c r="H4" s="38" t="s">
        <v>1583</v>
      </c>
      <c r="I4" s="39">
        <v>0.06</v>
      </c>
      <c r="J4" s="39">
        <v>0.04</v>
      </c>
      <c r="K4" s="41">
        <v>0.13647999999999999</v>
      </c>
      <c r="L4" s="39">
        <v>2E-3</v>
      </c>
    </row>
    <row r="5" spans="1:12" ht="15">
      <c r="A5" s="34" t="s">
        <v>1201</v>
      </c>
      <c r="B5" s="40">
        <v>2.1353554116958047</v>
      </c>
      <c r="C5" s="39">
        <v>2</v>
      </c>
      <c r="D5" s="39">
        <v>8.3000000000000007</v>
      </c>
      <c r="E5" s="37">
        <v>0.771019978613949</v>
      </c>
      <c r="F5" s="39">
        <v>1</v>
      </c>
      <c r="G5" s="37"/>
      <c r="H5" s="34" t="s">
        <v>1542</v>
      </c>
      <c r="I5" s="39">
        <v>0.28000000000000003</v>
      </c>
      <c r="J5" s="39">
        <v>3.72</v>
      </c>
      <c r="K5" s="41">
        <v>12.692640000000001</v>
      </c>
      <c r="L5" s="39">
        <v>0.248</v>
      </c>
    </row>
    <row r="6" spans="1:12" ht="15">
      <c r="A6" s="34" t="s">
        <v>1203</v>
      </c>
      <c r="B6" s="40">
        <v>1.717728258155452</v>
      </c>
      <c r="C6" s="39">
        <v>2</v>
      </c>
      <c r="D6" s="39">
        <v>8.3000000000000007</v>
      </c>
      <c r="E6" s="37">
        <v>0.771019978613949</v>
      </c>
      <c r="F6" s="39">
        <v>1</v>
      </c>
      <c r="G6" s="37"/>
      <c r="H6" s="34" t="s">
        <v>1152</v>
      </c>
      <c r="I6" s="39">
        <v>0.05</v>
      </c>
      <c r="J6" s="39">
        <v>0</v>
      </c>
      <c r="K6" s="41">
        <v>0</v>
      </c>
      <c r="L6" s="39">
        <v>0</v>
      </c>
    </row>
    <row r="7" spans="1:12" ht="15">
      <c r="A7" s="34" t="s">
        <v>1204</v>
      </c>
      <c r="B7" s="40">
        <v>2.1911959188942376</v>
      </c>
      <c r="C7" s="39">
        <v>2</v>
      </c>
      <c r="D7" s="39">
        <v>8.3000000000000007</v>
      </c>
      <c r="E7" s="37">
        <v>0.771019978613949</v>
      </c>
      <c r="F7" s="39">
        <v>1</v>
      </c>
      <c r="G7" s="37"/>
      <c r="H7" s="38" t="s">
        <v>1584</v>
      </c>
      <c r="I7" s="39">
        <v>2.6</v>
      </c>
      <c r="J7" s="39">
        <v>0.35</v>
      </c>
      <c r="K7" s="41">
        <v>1.1941999999999999</v>
      </c>
      <c r="L7" s="39">
        <v>2.3E-2</v>
      </c>
    </row>
    <row r="8" spans="1:12" ht="15">
      <c r="A8" s="34" t="s">
        <v>1205</v>
      </c>
      <c r="B8" s="40">
        <v>2.8203206437064492</v>
      </c>
      <c r="C8" s="39">
        <v>2</v>
      </c>
      <c r="D8" s="39">
        <v>8.3000000000000007</v>
      </c>
      <c r="E8" s="37">
        <v>0.771019978613949</v>
      </c>
      <c r="F8" s="39">
        <v>1</v>
      </c>
      <c r="G8" s="37"/>
      <c r="H8" s="34" t="s">
        <v>1159</v>
      </c>
      <c r="I8" s="39">
        <v>0.06</v>
      </c>
      <c r="J8" s="39">
        <v>0.09</v>
      </c>
      <c r="K8" s="41">
        <v>0.30707999999999996</v>
      </c>
      <c r="L8" s="39">
        <v>6.0000000000000001E-3</v>
      </c>
    </row>
    <row r="9" spans="1:12" ht="15">
      <c r="A9" s="34" t="s">
        <v>892</v>
      </c>
      <c r="B9" s="40">
        <v>3.7327664699742038</v>
      </c>
      <c r="C9" s="39">
        <v>2</v>
      </c>
      <c r="D9" s="39">
        <v>30</v>
      </c>
      <c r="E9" s="37">
        <v>2.7868191998094538</v>
      </c>
      <c r="F9" s="39">
        <v>1</v>
      </c>
      <c r="G9" s="37"/>
      <c r="H9" s="38" t="s">
        <v>1585</v>
      </c>
      <c r="I9" s="39">
        <v>0.08</v>
      </c>
      <c r="J9" s="39">
        <v>0.33</v>
      </c>
      <c r="K9" s="41">
        <v>1.1259600000000001</v>
      </c>
      <c r="L9" s="39">
        <v>2.1999999999999999E-2</v>
      </c>
    </row>
    <row r="10" spans="1:12" ht="15">
      <c r="A10" s="34" t="s">
        <v>1207</v>
      </c>
      <c r="B10" s="40">
        <v>0.3875038517506228</v>
      </c>
      <c r="C10" s="39">
        <v>2</v>
      </c>
      <c r="D10" s="39">
        <v>2</v>
      </c>
      <c r="E10" s="37">
        <v>0.18578794665396359</v>
      </c>
      <c r="F10" s="39">
        <v>1</v>
      </c>
      <c r="G10" s="37"/>
      <c r="H10" s="34" t="s">
        <v>1165</v>
      </c>
      <c r="I10" s="39">
        <v>1.53</v>
      </c>
      <c r="J10" s="39">
        <v>0.13</v>
      </c>
      <c r="K10" s="41">
        <v>0.44356000000000001</v>
      </c>
      <c r="L10" s="39">
        <v>8.9999999999999993E-3</v>
      </c>
    </row>
    <row r="11" spans="1:12" ht="15">
      <c r="A11" s="34" t="s">
        <v>1154</v>
      </c>
      <c r="B11" s="40">
        <v>0.3457552762983131</v>
      </c>
      <c r="C11" s="39">
        <v>2</v>
      </c>
      <c r="D11" s="39">
        <v>2</v>
      </c>
      <c r="E11" s="37">
        <v>0.18578794665396359</v>
      </c>
      <c r="F11" s="39">
        <v>1</v>
      </c>
      <c r="G11" s="37"/>
      <c r="H11" s="34" t="s">
        <v>1168</v>
      </c>
      <c r="I11" s="39">
        <v>0.03</v>
      </c>
      <c r="J11" s="39">
        <v>0.04</v>
      </c>
      <c r="K11" s="41">
        <v>0.13647999999999999</v>
      </c>
      <c r="L11" s="39">
        <v>2E-3</v>
      </c>
    </row>
    <row r="12" spans="1:12" ht="15">
      <c r="A12" s="34" t="s">
        <v>1209</v>
      </c>
      <c r="B12" s="40">
        <v>0.24213755513827526</v>
      </c>
      <c r="C12" s="39">
        <v>2</v>
      </c>
      <c r="D12" s="39">
        <v>2</v>
      </c>
      <c r="E12" s="37">
        <v>0.18578794665396359</v>
      </c>
      <c r="F12" s="39">
        <v>1</v>
      </c>
      <c r="G12" s="37"/>
      <c r="H12" s="34" t="s">
        <v>1170</v>
      </c>
      <c r="I12" s="39">
        <v>0.03</v>
      </c>
      <c r="J12" s="39">
        <v>0.04</v>
      </c>
      <c r="K12" s="41">
        <v>0.13647999999999999</v>
      </c>
      <c r="L12" s="39">
        <v>2E-3</v>
      </c>
    </row>
    <row r="13" spans="1:12" ht="15">
      <c r="A13" s="34" t="s">
        <v>1210</v>
      </c>
      <c r="B13" s="40">
        <v>1.1154976401466532</v>
      </c>
      <c r="C13" s="39">
        <v>2</v>
      </c>
      <c r="D13" s="39">
        <v>5.0999999999999996</v>
      </c>
      <c r="E13" s="37">
        <v>0.47375926396760709</v>
      </c>
      <c r="F13" s="39">
        <v>1</v>
      </c>
      <c r="G13" s="37"/>
      <c r="H13" s="34" t="s">
        <v>1586</v>
      </c>
      <c r="I13" s="39">
        <v>0.06</v>
      </c>
      <c r="J13" s="39">
        <v>0.04</v>
      </c>
      <c r="K13" s="41">
        <v>0.13647999999999999</v>
      </c>
      <c r="L13" s="39">
        <v>3.0000000000000001E-3</v>
      </c>
    </row>
    <row r="14" spans="1:12" ht="15">
      <c r="A14" s="34" t="s">
        <v>1211</v>
      </c>
      <c r="B14" s="40">
        <v>0.99476098498451837</v>
      </c>
      <c r="C14" s="39">
        <v>2</v>
      </c>
      <c r="D14" s="39">
        <v>5.0999999999999996</v>
      </c>
      <c r="E14" s="37">
        <v>0.47375926396760709</v>
      </c>
      <c r="F14" s="39">
        <v>1</v>
      </c>
      <c r="G14" s="37"/>
      <c r="H14" s="34" t="s">
        <v>1177</v>
      </c>
      <c r="I14" s="39">
        <v>1.1200000000000001</v>
      </c>
      <c r="J14" s="39">
        <v>5.14</v>
      </c>
      <c r="K14" s="41">
        <v>17.537679999999998</v>
      </c>
      <c r="L14" s="39">
        <v>0.34200000000000003</v>
      </c>
    </row>
    <row r="15" spans="1:12" ht="15">
      <c r="A15" s="34" t="s">
        <v>1212</v>
      </c>
      <c r="B15" s="40">
        <v>0.78210147921321405</v>
      </c>
      <c r="C15" s="39">
        <v>2</v>
      </c>
      <c r="D15" s="39">
        <v>5.0999999999999996</v>
      </c>
      <c r="E15" s="37">
        <v>0.47375926396760709</v>
      </c>
      <c r="F15" s="39">
        <v>1</v>
      </c>
      <c r="G15" s="37"/>
      <c r="H15" s="34" t="s">
        <v>1180</v>
      </c>
      <c r="I15" s="39">
        <v>0.08</v>
      </c>
      <c r="J15" s="39">
        <v>0.33</v>
      </c>
      <c r="K15" s="41">
        <v>1.1259600000000001</v>
      </c>
      <c r="L15" s="39">
        <v>2.1999999999999999E-2</v>
      </c>
    </row>
    <row r="16" spans="1:12" ht="15">
      <c r="A16" s="34" t="s">
        <v>1157</v>
      </c>
      <c r="B16" s="40">
        <v>0.67324826344548816</v>
      </c>
      <c r="C16" s="39">
        <v>2</v>
      </c>
      <c r="D16" s="39">
        <v>5.0999999999999996</v>
      </c>
      <c r="E16" s="37">
        <v>0.47375926396760709</v>
      </c>
      <c r="F16" s="39">
        <v>1</v>
      </c>
      <c r="G16" s="37"/>
      <c r="H16" s="34" t="s">
        <v>1549</v>
      </c>
      <c r="I16" s="39">
        <v>0.08</v>
      </c>
      <c r="J16" s="39">
        <v>0.33</v>
      </c>
      <c r="K16" s="41">
        <v>1.1259600000000001</v>
      </c>
      <c r="L16" s="39">
        <v>2.1999999999999999E-2</v>
      </c>
    </row>
    <row r="17" spans="1:12" ht="15">
      <c r="A17" s="34" t="s">
        <v>1213</v>
      </c>
      <c r="B17" s="40">
        <v>1.5772441150265757</v>
      </c>
      <c r="C17" s="39">
        <v>2</v>
      </c>
      <c r="D17" s="39">
        <v>12</v>
      </c>
      <c r="E17" s="37">
        <v>1.1147276799237815</v>
      </c>
      <c r="F17" s="39">
        <v>1</v>
      </c>
      <c r="G17" s="37"/>
      <c r="H17" s="34" t="s">
        <v>492</v>
      </c>
      <c r="I17" s="39">
        <v>0.14000000000000001</v>
      </c>
      <c r="J17" s="39">
        <v>0.2</v>
      </c>
      <c r="K17" s="41">
        <v>0.68240000000000001</v>
      </c>
      <c r="L17" s="39">
        <v>1.4E-2</v>
      </c>
    </row>
    <row r="18" spans="1:12" ht="15">
      <c r="A18" s="34" t="s">
        <v>1161</v>
      </c>
      <c r="B18" s="40">
        <v>1.6041373558629317</v>
      </c>
      <c r="C18" s="39">
        <v>2</v>
      </c>
      <c r="D18" s="39">
        <v>12</v>
      </c>
      <c r="E18" s="37">
        <v>1.1147276799237815</v>
      </c>
      <c r="F18" s="39">
        <v>1</v>
      </c>
      <c r="G18" s="37"/>
      <c r="H18" s="34" t="s">
        <v>1587</v>
      </c>
      <c r="I18" s="39">
        <v>0.15</v>
      </c>
      <c r="J18" s="39">
        <v>0.03</v>
      </c>
      <c r="K18" s="41">
        <v>0.10235999999999999</v>
      </c>
      <c r="L18" s="39">
        <v>2E-3</v>
      </c>
    </row>
    <row r="19" spans="1:12" ht="15">
      <c r="A19" s="34" t="s">
        <v>1216</v>
      </c>
      <c r="B19" s="40">
        <v>1.798660470879802</v>
      </c>
      <c r="C19" s="39">
        <v>2</v>
      </c>
      <c r="D19" s="39">
        <v>5.9</v>
      </c>
      <c r="E19" s="37">
        <v>0.54807444262919258</v>
      </c>
      <c r="F19" s="39">
        <v>1</v>
      </c>
      <c r="G19" s="37"/>
      <c r="H19" s="34" t="s">
        <v>1588</v>
      </c>
      <c r="I19" s="39">
        <v>0.12</v>
      </c>
      <c r="J19" s="39">
        <v>0.22</v>
      </c>
      <c r="K19" s="41">
        <v>0.75063999999999997</v>
      </c>
      <c r="L19" s="39">
        <v>1.4999999999999999E-2</v>
      </c>
    </row>
    <row r="20" spans="1:12" ht="15">
      <c r="A20" s="34" t="s">
        <v>1164</v>
      </c>
      <c r="B20" s="40">
        <v>1.3275547780989743</v>
      </c>
      <c r="C20" s="39">
        <v>2</v>
      </c>
      <c r="D20" s="39">
        <v>5.9</v>
      </c>
      <c r="E20" s="37">
        <v>0.54807444262919258</v>
      </c>
      <c r="F20" s="39">
        <v>1</v>
      </c>
      <c r="G20" s="37"/>
      <c r="H20" s="34" t="s">
        <v>867</v>
      </c>
      <c r="I20" s="39">
        <v>0.1</v>
      </c>
      <c r="J20" s="39">
        <v>0.09</v>
      </c>
      <c r="K20" s="41">
        <v>0.30707999999999996</v>
      </c>
      <c r="L20" s="39">
        <v>6.0000000000000001E-3</v>
      </c>
    </row>
    <row r="21" spans="1:12" ht="15">
      <c r="A21" s="34" t="s">
        <v>1165</v>
      </c>
      <c r="B21" s="40">
        <v>0.16933161463207133</v>
      </c>
      <c r="C21" s="39">
        <v>2</v>
      </c>
      <c r="D21" s="39">
        <v>1</v>
      </c>
      <c r="E21" s="37">
        <v>9.2893973326981794E-2</v>
      </c>
      <c r="F21" s="39">
        <v>1</v>
      </c>
      <c r="G21" s="37"/>
      <c r="H21" s="37"/>
      <c r="I21" s="37"/>
      <c r="J21" s="37"/>
      <c r="K21" s="37"/>
      <c r="L21" s="37"/>
    </row>
    <row r="22" spans="1:12" ht="15">
      <c r="A22" s="34" t="s">
        <v>1168</v>
      </c>
      <c r="B22" s="40">
        <v>0.31383504677709562</v>
      </c>
      <c r="C22" s="39">
        <v>2</v>
      </c>
      <c r="D22" s="39">
        <v>5.9</v>
      </c>
      <c r="E22" s="37">
        <v>0.54807444262919258</v>
      </c>
      <c r="F22" s="39">
        <v>0.4</v>
      </c>
      <c r="G22" s="37"/>
      <c r="H22" s="37"/>
      <c r="I22" s="37"/>
      <c r="J22" s="37"/>
      <c r="K22" s="37"/>
      <c r="L22" s="37"/>
    </row>
    <row r="23" spans="1:12" ht="15">
      <c r="A23" s="34" t="s">
        <v>1218</v>
      </c>
      <c r="B23" s="40">
        <v>0.73029586203123187</v>
      </c>
      <c r="C23" s="39">
        <v>2</v>
      </c>
      <c r="D23" s="39">
        <v>5.9</v>
      </c>
      <c r="E23" s="37">
        <v>0.54807444262919258</v>
      </c>
      <c r="F23" s="39">
        <v>1</v>
      </c>
      <c r="G23" s="37"/>
      <c r="H23" s="37"/>
      <c r="I23" s="37"/>
      <c r="J23" s="37"/>
      <c r="K23" s="37"/>
      <c r="L23" s="37"/>
    </row>
    <row r="24" spans="1:12" ht="15">
      <c r="A24" s="34" t="s">
        <v>59</v>
      </c>
      <c r="B24" s="40">
        <v>1.1040760940420149</v>
      </c>
      <c r="C24" s="39">
        <v>2</v>
      </c>
      <c r="D24" s="39">
        <v>5.9</v>
      </c>
      <c r="E24" s="37">
        <v>0.54807444262919258</v>
      </c>
      <c r="F24" s="39">
        <v>1</v>
      </c>
      <c r="G24" s="37"/>
      <c r="H24" s="37"/>
      <c r="I24" s="37"/>
      <c r="J24" s="37"/>
      <c r="K24" s="37"/>
      <c r="L24" s="37"/>
    </row>
    <row r="25" spans="1:12" ht="15">
      <c r="A25" s="34" t="s">
        <v>1220</v>
      </c>
      <c r="B25" s="40">
        <v>0.70971824786130466</v>
      </c>
      <c r="C25" s="39">
        <v>2</v>
      </c>
      <c r="D25" s="39">
        <v>5.9</v>
      </c>
      <c r="E25" s="37">
        <v>0.54807444262919258</v>
      </c>
      <c r="F25" s="39">
        <v>1</v>
      </c>
      <c r="G25" s="37"/>
      <c r="H25" s="37"/>
      <c r="I25" s="37"/>
      <c r="J25" s="37"/>
      <c r="K25" s="37"/>
      <c r="L25" s="37"/>
    </row>
    <row r="26" spans="1:12" ht="15">
      <c r="A26" s="34" t="s">
        <v>1172</v>
      </c>
      <c r="B26" s="40">
        <v>0.71805651249876923</v>
      </c>
      <c r="C26" s="39">
        <v>2</v>
      </c>
      <c r="D26" s="39">
        <v>5.9</v>
      </c>
      <c r="E26" s="37">
        <v>0.54807444262919258</v>
      </c>
      <c r="F26" s="39">
        <v>1</v>
      </c>
      <c r="G26" s="37"/>
      <c r="H26" s="37"/>
      <c r="I26" s="37"/>
      <c r="J26" s="37"/>
      <c r="K26" s="37"/>
      <c r="L26" s="37"/>
    </row>
    <row r="27" spans="1:12" ht="15">
      <c r="A27" s="34" t="s">
        <v>1222</v>
      </c>
      <c r="B27" s="40">
        <v>0.82509020546793743</v>
      </c>
      <c r="C27" s="39">
        <v>2</v>
      </c>
      <c r="D27" s="39">
        <v>5.9</v>
      </c>
      <c r="E27" s="37">
        <v>0.54807444262919258</v>
      </c>
      <c r="F27" s="39">
        <v>1</v>
      </c>
      <c r="G27" s="37"/>
      <c r="H27" s="37"/>
      <c r="I27" s="37"/>
      <c r="J27" s="37"/>
      <c r="K27" s="37"/>
      <c r="L27" s="37"/>
    </row>
    <row r="28" spans="1:12" ht="15">
      <c r="A28" s="34" t="s">
        <v>1224</v>
      </c>
      <c r="B28" s="40">
        <v>1.4876857911039096</v>
      </c>
      <c r="C28" s="39">
        <v>1.6</v>
      </c>
      <c r="D28" s="39">
        <v>8</v>
      </c>
      <c r="E28" s="37">
        <v>0.74315178661585435</v>
      </c>
      <c r="F28" s="39">
        <v>1</v>
      </c>
      <c r="G28" s="37"/>
      <c r="H28" s="37"/>
      <c r="I28" s="37"/>
      <c r="J28" s="37"/>
      <c r="K28" s="37"/>
      <c r="L28" s="37"/>
    </row>
    <row r="29" spans="1:12" ht="15">
      <c r="A29" s="34" t="s">
        <v>1225</v>
      </c>
      <c r="B29" s="40">
        <v>0.86616442758882173</v>
      </c>
      <c r="C29" s="39">
        <v>2</v>
      </c>
      <c r="D29" s="39">
        <v>1.6</v>
      </c>
      <c r="E29" s="37">
        <v>0.14863035732317087</v>
      </c>
      <c r="F29" s="39">
        <v>1</v>
      </c>
      <c r="G29" s="37"/>
      <c r="H29" s="37"/>
      <c r="I29" s="37"/>
      <c r="J29" s="37"/>
      <c r="K29" s="37"/>
      <c r="L29" s="37"/>
    </row>
    <row r="30" spans="1:12" ht="15">
      <c r="A30" s="34" t="s">
        <v>1176</v>
      </c>
      <c r="B30" s="40">
        <v>0.77828736811637478</v>
      </c>
      <c r="C30" s="39">
        <v>2</v>
      </c>
      <c r="D30" s="39">
        <v>1.6</v>
      </c>
      <c r="E30" s="37">
        <v>0.14863035732317087</v>
      </c>
      <c r="F30" s="39">
        <v>1</v>
      </c>
      <c r="G30" s="37"/>
      <c r="H30" s="37"/>
      <c r="I30" s="37"/>
      <c r="J30" s="37"/>
      <c r="K30" s="37"/>
      <c r="L30" s="37"/>
    </row>
    <row r="31" spans="1:12" ht="15">
      <c r="A31" s="34" t="s">
        <v>1228</v>
      </c>
      <c r="B31" s="40">
        <v>0.52419285080459055</v>
      </c>
      <c r="C31" s="39">
        <v>2</v>
      </c>
      <c r="D31" s="39">
        <v>1.6</v>
      </c>
      <c r="E31" s="37">
        <v>0.14863035732317087</v>
      </c>
      <c r="F31" s="39">
        <v>1</v>
      </c>
      <c r="G31" s="37"/>
      <c r="H31" s="37"/>
      <c r="I31" s="37"/>
      <c r="J31" s="37"/>
      <c r="K31" s="37"/>
      <c r="L31" s="37"/>
    </row>
    <row r="32" spans="1:12" ht="15">
      <c r="A32" s="34" t="s">
        <v>1229</v>
      </c>
      <c r="B32" s="40">
        <v>0.90505338237161281</v>
      </c>
      <c r="C32" s="39">
        <v>2</v>
      </c>
      <c r="D32" s="39">
        <v>2</v>
      </c>
      <c r="E32" s="37">
        <v>0.18578794665396359</v>
      </c>
      <c r="F32" s="39">
        <v>1</v>
      </c>
      <c r="G32" s="37"/>
      <c r="H32" s="37"/>
      <c r="I32" s="37"/>
      <c r="J32" s="37"/>
      <c r="K32" s="37"/>
      <c r="L32" s="37"/>
    </row>
    <row r="33" spans="1:6" ht="15">
      <c r="A33" s="34" t="s">
        <v>1230</v>
      </c>
      <c r="B33" s="40">
        <v>1.4926400671011315</v>
      </c>
      <c r="C33" s="39">
        <v>2</v>
      </c>
      <c r="D33" s="39">
        <v>10</v>
      </c>
      <c r="E33" s="37">
        <v>0.92893973326981794</v>
      </c>
      <c r="F33" s="39">
        <v>1</v>
      </c>
    </row>
    <row r="34" spans="1:6" ht="15">
      <c r="A34" s="34" t="s">
        <v>1179</v>
      </c>
      <c r="B34" s="40">
        <v>1.2160732803364349</v>
      </c>
      <c r="C34" s="39">
        <v>2</v>
      </c>
      <c r="D34" s="39">
        <v>10</v>
      </c>
      <c r="E34" s="37">
        <v>0.92893973326981794</v>
      </c>
      <c r="F34" s="39">
        <v>1</v>
      </c>
    </row>
    <row r="35" spans="1:6" ht="15">
      <c r="A35" s="34" t="s">
        <v>1231</v>
      </c>
      <c r="B35" s="40">
        <v>1.3077948747980415</v>
      </c>
      <c r="C35" s="39">
        <v>2</v>
      </c>
      <c r="D35" s="39">
        <v>10</v>
      </c>
      <c r="E35" s="37">
        <v>0.92893973326981794</v>
      </c>
      <c r="F35" s="39">
        <v>1</v>
      </c>
    </row>
    <row r="36" spans="1:6" ht="15">
      <c r="A36" s="34" t="s">
        <v>1182</v>
      </c>
      <c r="B36" s="40">
        <v>1.6837005013781232</v>
      </c>
      <c r="C36" s="39">
        <v>2</v>
      </c>
      <c r="D36" s="39">
        <v>8.1999999999999993</v>
      </c>
      <c r="E36" s="37">
        <v>0.7617305812812506</v>
      </c>
      <c r="F36" s="39">
        <v>1</v>
      </c>
    </row>
    <row r="37" spans="1:6" ht="15">
      <c r="A37" s="34" t="s">
        <v>1186</v>
      </c>
      <c r="B37" s="40">
        <v>1.428817401242789</v>
      </c>
      <c r="C37" s="39">
        <v>2</v>
      </c>
      <c r="D37" s="39">
        <v>12</v>
      </c>
      <c r="E37" s="37">
        <v>1.1147276799237815</v>
      </c>
      <c r="F37" s="39">
        <v>1</v>
      </c>
    </row>
    <row r="38" spans="1:6" ht="15">
      <c r="A38" s="34" t="s">
        <v>1233</v>
      </c>
      <c r="B38" s="40">
        <v>1.5766812026716095</v>
      </c>
      <c r="C38" s="39">
        <v>2</v>
      </c>
      <c r="D38" s="39">
        <v>3.2</v>
      </c>
      <c r="E38" s="37">
        <v>0.29726071464634174</v>
      </c>
      <c r="F38" s="39">
        <v>1</v>
      </c>
    </row>
    <row r="39" spans="1:6" ht="15">
      <c r="A39" s="34" t="s">
        <v>514</v>
      </c>
      <c r="B39" s="40">
        <v>0.77581578866248546</v>
      </c>
      <c r="C39" s="39">
        <v>2</v>
      </c>
      <c r="D39" s="39">
        <v>3.2</v>
      </c>
      <c r="E39" s="37">
        <v>0.29726071464634174</v>
      </c>
      <c r="F39" s="39">
        <v>1</v>
      </c>
    </row>
    <row r="40" spans="1:6" ht="15">
      <c r="A40" s="34" t="s">
        <v>1234</v>
      </c>
      <c r="B40" s="40">
        <v>0.70721180577750775</v>
      </c>
      <c r="C40" s="39">
        <v>2</v>
      </c>
      <c r="D40" s="39">
        <v>3.2</v>
      </c>
      <c r="E40" s="37">
        <v>0.29726071464634174</v>
      </c>
      <c r="F40" s="39">
        <v>1</v>
      </c>
    </row>
    <row r="41" spans="1:6" ht="15">
      <c r="A41" s="34" t="s">
        <v>1235</v>
      </c>
      <c r="B41" s="40">
        <v>0.67301458413653859</v>
      </c>
      <c r="C41" s="39">
        <v>2</v>
      </c>
      <c r="D41" s="39">
        <v>3.2</v>
      </c>
      <c r="E41" s="37">
        <v>0.29726071464634174</v>
      </c>
      <c r="F41" s="39">
        <v>1</v>
      </c>
    </row>
    <row r="42" spans="1:6" ht="15">
      <c r="A42" s="34" t="s">
        <v>1237</v>
      </c>
      <c r="B42" s="40">
        <v>0.87779125756336485</v>
      </c>
      <c r="C42" s="39">
        <v>2</v>
      </c>
      <c r="D42" s="39">
        <v>3.7</v>
      </c>
      <c r="E42" s="37">
        <v>0.34370770130983264</v>
      </c>
      <c r="F42" s="39">
        <v>1</v>
      </c>
    </row>
    <row r="43" spans="1:6" ht="15">
      <c r="A43" s="34" t="s">
        <v>1193</v>
      </c>
      <c r="B43" s="40">
        <v>0.51831713702429327</v>
      </c>
      <c r="C43" s="39">
        <v>2</v>
      </c>
      <c r="D43" s="39">
        <v>3.7</v>
      </c>
      <c r="E43" s="37">
        <v>0.34370770130983264</v>
      </c>
      <c r="F43" s="39">
        <v>1</v>
      </c>
    </row>
    <row r="44" spans="1:6" ht="15">
      <c r="A44" s="34" t="s">
        <v>1238</v>
      </c>
      <c r="B44" s="40">
        <v>0.69522009242246074</v>
      </c>
      <c r="C44" s="39">
        <v>2</v>
      </c>
      <c r="D44" s="39">
        <v>3.7</v>
      </c>
      <c r="E44" s="37">
        <v>0.34370770130983264</v>
      </c>
      <c r="F44" s="39">
        <v>1</v>
      </c>
    </row>
    <row r="45" spans="1:6" ht="15">
      <c r="A45" s="34" t="s">
        <v>1239</v>
      </c>
      <c r="B45" s="40">
        <v>1.5045653444704468</v>
      </c>
      <c r="C45" s="39">
        <v>2</v>
      </c>
      <c r="D45" s="39">
        <v>5.9</v>
      </c>
      <c r="E45" s="37">
        <v>0.54807444262919258</v>
      </c>
      <c r="F45" s="39">
        <v>1</v>
      </c>
    </row>
    <row r="46" spans="1:6" ht="15">
      <c r="A46" s="34" t="s">
        <v>1196</v>
      </c>
      <c r="B46" s="40">
        <v>0.57157691564062696</v>
      </c>
      <c r="C46" s="39">
        <v>2</v>
      </c>
      <c r="D46" s="39">
        <v>5.9</v>
      </c>
      <c r="E46" s="37">
        <v>0.54807444262919258</v>
      </c>
      <c r="F46" s="39">
        <v>1</v>
      </c>
    </row>
    <row r="47" spans="1:6" ht="15">
      <c r="A47" s="34" t="s">
        <v>1240</v>
      </c>
      <c r="B47" s="40">
        <v>0.63929876713792166</v>
      </c>
      <c r="C47" s="39">
        <v>2</v>
      </c>
      <c r="D47" s="39">
        <v>5.9</v>
      </c>
      <c r="E47" s="37">
        <v>0.54807444262919258</v>
      </c>
      <c r="F47" s="39">
        <v>1</v>
      </c>
    </row>
    <row r="48" spans="1:6" ht="15">
      <c r="A48" s="34" t="s">
        <v>1241</v>
      </c>
      <c r="B48" s="40">
        <v>0.34368138427119765</v>
      </c>
      <c r="C48" s="39">
        <v>2</v>
      </c>
      <c r="D48" s="39">
        <v>5.9</v>
      </c>
      <c r="E48" s="37">
        <v>0.54807444262919258</v>
      </c>
      <c r="F48" s="39">
        <v>1</v>
      </c>
    </row>
    <row r="49" spans="1:6" ht="15">
      <c r="A49" s="34" t="s">
        <v>1242</v>
      </c>
      <c r="B49" s="40">
        <v>0.47726866575842619</v>
      </c>
      <c r="C49" s="39">
        <v>2</v>
      </c>
      <c r="D49" s="39">
        <v>5.9</v>
      </c>
      <c r="E49" s="37">
        <v>0.54807444262919258</v>
      </c>
      <c r="F49" s="39">
        <v>1</v>
      </c>
    </row>
    <row r="50" spans="1:6" ht="15">
      <c r="A50" s="34" t="s">
        <v>867</v>
      </c>
      <c r="B50" s="40">
        <v>2.6791683634263697</v>
      </c>
      <c r="C50" s="39">
        <v>2</v>
      </c>
      <c r="D50" s="39">
        <v>5.9</v>
      </c>
      <c r="E50" s="37">
        <v>0.54807444262919258</v>
      </c>
      <c r="F50" s="39">
        <v>1</v>
      </c>
    </row>
    <row r="51" spans="1:6" ht="15">
      <c r="A51" s="34" t="s">
        <v>1189</v>
      </c>
      <c r="B51" s="40">
        <v>0</v>
      </c>
      <c r="C51" s="37"/>
      <c r="D51" s="37"/>
      <c r="E51" s="37"/>
      <c r="F51" s="37"/>
    </row>
    <row r="52" spans="1:6" ht="15">
      <c r="A52" s="34" t="s">
        <v>1190</v>
      </c>
      <c r="B52" s="40">
        <v>0</v>
      </c>
      <c r="C52" s="37"/>
      <c r="D52" s="37"/>
      <c r="E52" s="37"/>
      <c r="F52" s="37"/>
    </row>
  </sheetData>
  <mergeCells count="1">
    <mergeCell ref="A1:B1"/>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X143"/>
  <sheetViews>
    <sheetView workbookViewId="0">
      <selection activeCell="B23" sqref="B23"/>
    </sheetView>
  </sheetViews>
  <sheetFormatPr defaultRowHeight="12.75"/>
  <cols>
    <col min="1" max="1" width="33" customWidth="1"/>
    <col min="2" max="2" width="53" customWidth="1"/>
    <col min="3" max="6" width="12.140625" style="4" customWidth="1"/>
    <col min="7" max="7" width="8.85546875" style="13" customWidth="1"/>
    <col min="8" max="10" width="10" style="13" customWidth="1"/>
    <col min="11" max="11" width="11.140625" style="13" customWidth="1"/>
    <col min="12" max="15" width="11.140625" style="8" customWidth="1"/>
    <col min="16" max="17" width="11.140625" style="13" customWidth="1"/>
    <col min="18" max="18" width="11.140625" style="8" customWidth="1"/>
    <col min="19" max="19" width="11.140625" style="4" customWidth="1"/>
    <col min="20" max="21" width="11.140625" style="13" customWidth="1"/>
    <col min="22" max="22" width="18.85546875" style="11" customWidth="1"/>
    <col min="23" max="23" width="36.28515625" style="11" customWidth="1"/>
    <col min="24" max="24" width="0.140625" customWidth="1"/>
  </cols>
  <sheetData>
    <row r="1" spans="1:24">
      <c r="C1" s="299" t="s">
        <v>0</v>
      </c>
      <c r="D1" s="299"/>
      <c r="E1" s="300"/>
      <c r="F1" s="300"/>
      <c r="G1" s="246" t="s">
        <v>1</v>
      </c>
      <c r="H1" s="246"/>
      <c r="I1" s="301"/>
      <c r="J1" s="301"/>
      <c r="K1" s="301"/>
      <c r="L1" s="302" t="s">
        <v>2</v>
      </c>
      <c r="M1" s="302"/>
      <c r="N1" s="302"/>
      <c r="O1" s="302"/>
      <c r="P1" s="243" t="s">
        <v>3</v>
      </c>
      <c r="Q1" s="243"/>
      <c r="R1" s="240" t="s">
        <v>4</v>
      </c>
      <c r="S1" s="240"/>
      <c r="T1" s="243" t="s">
        <v>5</v>
      </c>
      <c r="U1" s="243"/>
      <c r="V1" s="240" t="s">
        <v>6</v>
      </c>
      <c r="W1" s="240"/>
    </row>
    <row r="2" spans="1:24" s="1" customFormat="1" ht="25.5" customHeight="1">
      <c r="A2"/>
      <c r="C2" s="294" t="s">
        <v>7</v>
      </c>
      <c r="D2" s="294"/>
      <c r="E2" s="294"/>
      <c r="F2" s="294"/>
      <c r="G2" s="295" t="s">
        <v>8</v>
      </c>
      <c r="H2" s="296"/>
      <c r="I2" s="295" t="s">
        <v>9</v>
      </c>
      <c r="J2" s="295"/>
      <c r="K2" s="295"/>
      <c r="L2" s="241" t="s">
        <v>10</v>
      </c>
      <c r="M2" s="297"/>
      <c r="N2" s="242" t="s">
        <v>11</v>
      </c>
      <c r="O2" s="297"/>
      <c r="P2" s="244" t="s">
        <v>12</v>
      </c>
      <c r="Q2" s="244"/>
      <c r="R2" s="241" t="s">
        <v>13</v>
      </c>
      <c r="S2" s="298"/>
      <c r="T2" s="245" t="s">
        <v>15</v>
      </c>
      <c r="U2" s="245" t="s">
        <v>16</v>
      </c>
      <c r="V2" s="9"/>
      <c r="W2" s="9"/>
    </row>
    <row r="3" spans="1:24" s="1" customFormat="1" ht="38.25">
      <c r="A3"/>
      <c r="C3" s="3" t="s">
        <v>17</v>
      </c>
      <c r="D3" s="3" t="s">
        <v>18</v>
      </c>
      <c r="E3" s="3" t="s">
        <v>19</v>
      </c>
      <c r="F3" s="3" t="s">
        <v>20</v>
      </c>
      <c r="G3" s="12" t="s">
        <v>21</v>
      </c>
      <c r="H3" s="136" t="s">
        <v>22</v>
      </c>
      <c r="I3" s="12" t="s">
        <v>23</v>
      </c>
      <c r="J3" s="12" t="s">
        <v>24</v>
      </c>
      <c r="K3" s="12" t="s">
        <v>25</v>
      </c>
      <c r="L3" s="5" t="s">
        <v>26</v>
      </c>
      <c r="M3" s="6" t="s">
        <v>27</v>
      </c>
      <c r="N3" s="7" t="s">
        <v>28</v>
      </c>
      <c r="O3" s="6" t="s">
        <v>29</v>
      </c>
      <c r="P3" s="12" t="s">
        <v>21</v>
      </c>
      <c r="Q3" s="12" t="s">
        <v>22</v>
      </c>
      <c r="R3" s="5" t="s">
        <v>21</v>
      </c>
      <c r="S3" s="3" t="s">
        <v>22</v>
      </c>
      <c r="T3" s="244"/>
      <c r="U3" s="244"/>
      <c r="V3" s="132" t="s">
        <v>30</v>
      </c>
      <c r="W3" s="132" t="s">
        <v>31</v>
      </c>
    </row>
    <row r="4" spans="1:24" s="16" customFormat="1">
      <c r="A4" s="21" t="s">
        <v>1589</v>
      </c>
      <c r="B4" s="17" t="s">
        <v>32</v>
      </c>
      <c r="C4" s="14"/>
      <c r="D4" s="14"/>
      <c r="E4" s="14"/>
      <c r="F4" s="14"/>
      <c r="G4" s="14"/>
      <c r="H4" s="14"/>
      <c r="I4" s="14"/>
      <c r="J4" s="14"/>
      <c r="K4" s="14"/>
      <c r="L4" s="15"/>
      <c r="M4" s="15"/>
      <c r="N4" s="15"/>
      <c r="O4" s="15"/>
      <c r="P4" s="14"/>
      <c r="Q4" s="14"/>
      <c r="R4" s="15"/>
      <c r="S4" s="14"/>
      <c r="T4" s="14"/>
      <c r="U4" s="14"/>
      <c r="X4"/>
    </row>
    <row r="5" spans="1:24">
      <c r="A5" t="s">
        <v>553</v>
      </c>
      <c r="B5" s="27" t="s">
        <v>77</v>
      </c>
      <c r="C5" s="26">
        <f>VLOOKUP(Mapping!$E32,_90_1_2001,2,FALSE)</f>
        <v>1.5</v>
      </c>
      <c r="D5" s="26">
        <f>VLOOKUP(Mapping!$D32,_90_1_2007,2,FALSE)</f>
        <v>1.2</v>
      </c>
      <c r="E5" s="26">
        <f>VLOOKUP(Mapping!$C32,_90_1_2010,2,FALSE)</f>
        <v>0.99</v>
      </c>
      <c r="F5" s="26" t="str">
        <f>VLOOKUP(Mapping!$C32,_90_1_2010,3,FALSE)</f>
        <v>n.a.</v>
      </c>
      <c r="G5" s="134">
        <f>VLOOKUP(Mapping!$J32,_ACM05,5,FALSE)</f>
        <v>1</v>
      </c>
      <c r="H5" s="134">
        <f>VLOOKUP(Mapping!G32,_Plugs,13,FALSE)</f>
        <v>0.68748419285970452</v>
      </c>
      <c r="I5" s="134">
        <f>VLOOKUP(Mapping!$G32,_Plugs,14,FALSE)</f>
        <v>2</v>
      </c>
      <c r="J5" s="134">
        <f>VLOOKUP(Mapping!$G32,_Plugs,15,FALSE)</f>
        <v>0.14869888475836432</v>
      </c>
      <c r="K5" s="134">
        <f>VLOOKUP(Mapping!$G32,_Plugs,16,FALSE)</f>
        <v>1</v>
      </c>
      <c r="L5" s="135">
        <f>1000/VLOOKUP(Mapping!$J32,_ACM05,2,FALSE)</f>
        <v>25</v>
      </c>
      <c r="M5" s="135">
        <f>VLOOKUP(Mapping!$I32,_ECB_CS,2,FALSE)</f>
        <v>75</v>
      </c>
      <c r="N5" s="135">
        <f>VLOOKUP(Mapping!$J32,_ACM05,3,FALSE)</f>
        <v>246</v>
      </c>
      <c r="O5" s="135">
        <f>VLOOKUP(Mapping!$J32,_ACM05,4,FALSE)</f>
        <v>171</v>
      </c>
      <c r="P5" s="134">
        <f>VLOOKUP(Mapping!$J32,_ACM05,8,FALSE)</f>
        <v>0.32</v>
      </c>
      <c r="Q5" s="134">
        <v>0.32</v>
      </c>
      <c r="R5" s="135">
        <f>VLOOKUP(Mapping!$J32,_ACM05,6,FALSE)</f>
        <v>108</v>
      </c>
      <c r="S5" s="135">
        <f>VLOOKUP(Mapping!$I32,_ECB_CS,4,FALSE)</f>
        <v>215</v>
      </c>
      <c r="T5" s="134">
        <f>VLOOKUP(Mapping!$H32,_CEUS,2,FALSE)</f>
        <v>0.13698630136986303</v>
      </c>
      <c r="U5" s="134">
        <f>VLOOKUP(Mapping!$H32,_CEUS,3,FALSE)</f>
        <v>5.7077625570776253E-2</v>
      </c>
      <c r="V5" s="11" t="s">
        <v>35</v>
      </c>
      <c r="W5" s="11" t="s">
        <v>78</v>
      </c>
    </row>
    <row r="6" spans="1:24">
      <c r="A6" t="s">
        <v>487</v>
      </c>
      <c r="B6" s="27" t="s">
        <v>42</v>
      </c>
      <c r="C6" s="26">
        <f>VLOOKUP(Mapping!$E9,_90_1_2001,2,FALSE)</f>
        <v>1.8</v>
      </c>
      <c r="D6" s="26">
        <f>VLOOKUP(Mapping!$D9,_90_1_2007,2,FALSE)</f>
        <v>1.4</v>
      </c>
      <c r="E6" s="26">
        <f>VLOOKUP(Mapping!$C9,_90_1_2010,2,FALSE)</f>
        <v>0.9</v>
      </c>
      <c r="F6" s="26" t="str">
        <f>VLOOKUP(Mapping!$C9,_90_1_2010,3,FALSE)</f>
        <v>n.a.</v>
      </c>
      <c r="G6" s="134">
        <f>VLOOKUP(Mapping!$J9,_ACM05,5,FALSE)</f>
        <v>0.79</v>
      </c>
      <c r="H6" s="134">
        <f>VLOOKUP(Mapping!G9,_Plugs,13,FALSE)</f>
        <v>1.3683549857758452</v>
      </c>
      <c r="I6" s="134">
        <f>VLOOKUP(Mapping!$G9,_Plugs,14,FALSE)</f>
        <v>2</v>
      </c>
      <c r="J6" s="134">
        <f>VLOOKUP(Mapping!$G9,_Plugs,15,FALSE)</f>
        <v>0.92936802973977695</v>
      </c>
      <c r="K6" s="134">
        <f>VLOOKUP(Mapping!$G9,_Plugs,16,FALSE)</f>
        <v>1</v>
      </c>
      <c r="L6" s="135">
        <f>1000/VLOOKUP(Mapping!$J9,_ACM05,2,FALSE)</f>
        <v>22.222222222222221</v>
      </c>
      <c r="M6" s="135">
        <f>VLOOKUP(Mapping!$I9,_ECB_CS,2,FALSE)</f>
        <v>100</v>
      </c>
      <c r="N6" s="135">
        <f>VLOOKUP(Mapping!$J9,_ACM05,3,FALSE)</f>
        <v>274</v>
      </c>
      <c r="O6" s="135">
        <f>VLOOKUP(Mapping!$J9,_ACM05,4,FALSE)</f>
        <v>334</v>
      </c>
      <c r="P6" s="134">
        <f>VLOOKUP(Mapping!$J9,_ACM05,8,FALSE)</f>
        <v>0.38</v>
      </c>
      <c r="Q6" s="134">
        <v>0.38</v>
      </c>
      <c r="R6" s="135">
        <f>VLOOKUP(Mapping!$J9,_ACM05,6,FALSE)</f>
        <v>366</v>
      </c>
      <c r="S6" s="135">
        <f>VLOOKUP(Mapping!$I9,_ECB_CS,4,FALSE)</f>
        <v>390</v>
      </c>
      <c r="T6" s="134">
        <f>VLOOKUP(Mapping!$H9,_CEUS,2,FALSE)</f>
        <v>17.534246575342468</v>
      </c>
      <c r="U6" s="134">
        <f>VLOOKUP(Mapping!$H9,_CEUS,3,FALSE)</f>
        <v>1.1267123287671232</v>
      </c>
      <c r="V6" s="11" t="s">
        <v>35</v>
      </c>
      <c r="W6" s="11" t="s">
        <v>41</v>
      </c>
    </row>
    <row r="7" spans="1:24">
      <c r="A7" t="s">
        <v>481</v>
      </c>
      <c r="B7" s="27" t="s">
        <v>40</v>
      </c>
      <c r="C7" s="26">
        <f>VLOOKUP(Mapping!$E8,_90_1_2001,2,FALSE)</f>
        <v>1.5</v>
      </c>
      <c r="D7" s="26">
        <f>VLOOKUP(Mapping!$D8,_90_1_2007,2,FALSE)</f>
        <v>1.3</v>
      </c>
      <c r="E7" s="26">
        <f>VLOOKUP(Mapping!$C8,_90_1_2010,2,FALSE)</f>
        <v>0.99</v>
      </c>
      <c r="F7" s="26" t="str">
        <f>VLOOKUP(Mapping!$C8,_90_1_2010,3,FALSE)</f>
        <v>n.a.</v>
      </c>
      <c r="G7" s="134">
        <f>VLOOKUP(Mapping!$J8,_ACM05,5,FALSE)</f>
        <v>0.79</v>
      </c>
      <c r="H7" s="134">
        <f>VLOOKUP(Mapping!G8,_Plugs,13,FALSE)</f>
        <v>1.3160573887824656</v>
      </c>
      <c r="I7" s="134">
        <f>VLOOKUP(Mapping!$G8,_Plugs,14,FALSE)</f>
        <v>2</v>
      </c>
      <c r="J7" s="134">
        <f>VLOOKUP(Mapping!$G8,_Plugs,15,FALSE)</f>
        <v>0.92936802973977695</v>
      </c>
      <c r="K7" s="134">
        <f>VLOOKUP(Mapping!$G8,_Plugs,16,FALSE)</f>
        <v>1</v>
      </c>
      <c r="L7" s="135">
        <f>1000/VLOOKUP(Mapping!$J8,_ACM05,2,FALSE)</f>
        <v>22.222222222222221</v>
      </c>
      <c r="M7" s="135">
        <f>VLOOKUP(Mapping!$I8,_ECB_CS,2,FALSE)</f>
        <v>100</v>
      </c>
      <c r="N7" s="135">
        <f>VLOOKUP(Mapping!$J8,_ACM05,3,FALSE)</f>
        <v>274</v>
      </c>
      <c r="O7" s="135">
        <f>VLOOKUP(Mapping!$J8,_ACM05,4,FALSE)</f>
        <v>334</v>
      </c>
      <c r="P7" s="134">
        <f>VLOOKUP(Mapping!$J8,_ACM05,8,FALSE)</f>
        <v>0.38</v>
      </c>
      <c r="Q7" s="134">
        <v>0.38</v>
      </c>
      <c r="R7" s="135">
        <f>VLOOKUP(Mapping!$J8,_ACM05,6,FALSE)</f>
        <v>366</v>
      </c>
      <c r="S7" s="135">
        <f>VLOOKUP(Mapping!$I8,_ECB_CS,4,FALSE)</f>
        <v>390</v>
      </c>
      <c r="T7" s="134">
        <f>VLOOKUP(Mapping!$H8,_CEUS,2,FALSE)</f>
        <v>17.534246575342468</v>
      </c>
      <c r="U7" s="134">
        <f>VLOOKUP(Mapping!$H8,_CEUS,3,FALSE)</f>
        <v>1.1267123287671232</v>
      </c>
      <c r="V7" s="11" t="s">
        <v>35</v>
      </c>
      <c r="W7" s="11" t="s">
        <v>41</v>
      </c>
    </row>
    <row r="8" spans="1:24">
      <c r="A8" t="s">
        <v>490</v>
      </c>
      <c r="B8" s="27" t="s">
        <v>43</v>
      </c>
      <c r="C8" s="26">
        <f>VLOOKUP(Mapping!$E10,_90_1_2001,2,FALSE)</f>
        <v>1.9</v>
      </c>
      <c r="D8" s="26">
        <f>VLOOKUP(Mapping!$D10,_90_1_2007,2,FALSE)</f>
        <v>1.6</v>
      </c>
      <c r="E8" s="26">
        <f>VLOOKUP(Mapping!$C10,_90_1_2010,2,FALSE)</f>
        <v>0.89</v>
      </c>
      <c r="F8" s="26" t="str">
        <f>VLOOKUP(Mapping!$C10,_90_1_2010,3,FALSE)</f>
        <v>n.a.</v>
      </c>
      <c r="G8" s="134">
        <f>VLOOKUP(Mapping!$J10,_ACM05,5,FALSE)</f>
        <v>0.79</v>
      </c>
      <c r="H8" s="134">
        <f>VLOOKUP(Mapping!G10,_Plugs,13,FALSE)</f>
        <v>1.2629966462352749</v>
      </c>
      <c r="I8" s="134">
        <f>VLOOKUP(Mapping!$G10,_Plugs,14,FALSE)</f>
        <v>2</v>
      </c>
      <c r="J8" s="134">
        <f>VLOOKUP(Mapping!$G10,_Plugs,15,FALSE)</f>
        <v>0.92936802973977695</v>
      </c>
      <c r="K8" s="134">
        <f>VLOOKUP(Mapping!$G10,_Plugs,16,FALSE)</f>
        <v>1</v>
      </c>
      <c r="L8" s="135">
        <f>1000/VLOOKUP(Mapping!$J10,_ACM05,2,FALSE)</f>
        <v>22.222222222222221</v>
      </c>
      <c r="M8" s="135">
        <f>VLOOKUP(Mapping!$I10,_ECB_CS,2,FALSE)</f>
        <v>100</v>
      </c>
      <c r="N8" s="135">
        <f>VLOOKUP(Mapping!$J10,_ACM05,3,FALSE)</f>
        <v>274</v>
      </c>
      <c r="O8" s="135">
        <f>VLOOKUP(Mapping!$J10,_ACM05,4,FALSE)</f>
        <v>334</v>
      </c>
      <c r="P8" s="134">
        <f>VLOOKUP(Mapping!$J10,_ACM05,8,FALSE)</f>
        <v>0.38</v>
      </c>
      <c r="Q8" s="134">
        <v>0.38</v>
      </c>
      <c r="R8" s="135">
        <f>VLOOKUP(Mapping!$J10,_ACM05,6,FALSE)</f>
        <v>366</v>
      </c>
      <c r="S8" s="135">
        <f>VLOOKUP(Mapping!$I10,_ECB_CS,4,FALSE)</f>
        <v>390</v>
      </c>
      <c r="T8" s="134">
        <f>VLOOKUP(Mapping!$H10,_CEUS,2,FALSE)</f>
        <v>17.534246575342468</v>
      </c>
      <c r="U8" s="134">
        <f>VLOOKUP(Mapping!$H10,_CEUS,3,FALSE)</f>
        <v>1.1267123287671232</v>
      </c>
      <c r="V8" s="11" t="s">
        <v>35</v>
      </c>
      <c r="W8" s="11" t="s">
        <v>41</v>
      </c>
    </row>
    <row r="9" spans="1:24">
      <c r="A9" t="s">
        <v>511</v>
      </c>
      <c r="B9" s="27" t="s">
        <v>56</v>
      </c>
      <c r="C9" s="26">
        <f>VLOOKUP(Mapping!$E16,_90_1_2001,2,FALSE)</f>
        <v>1.6</v>
      </c>
      <c r="D9" s="26">
        <f>VLOOKUP(Mapping!$D16,_90_1_2007,2,FALSE)</f>
        <v>1.2</v>
      </c>
      <c r="E9" s="26">
        <f>VLOOKUP(Mapping!$C16,_90_1_2010,2,FALSE)</f>
        <v>1.21</v>
      </c>
      <c r="F9" s="26" t="str">
        <f>VLOOKUP(Mapping!$C16,_90_1_2010,3,FALSE)</f>
        <v>n.a.</v>
      </c>
      <c r="G9" s="134">
        <f>VLOOKUP(Mapping!$J16,_ACM05,5,FALSE)</f>
        <v>1.18</v>
      </c>
      <c r="H9" s="134">
        <f>VLOOKUP(Mapping!G16,_Plugs,13,FALSE)</f>
        <v>1.2488271893219809</v>
      </c>
      <c r="I9" s="134">
        <f>VLOOKUP(Mapping!$G16,_Plugs,14,FALSE)</f>
        <v>2</v>
      </c>
      <c r="J9" s="134">
        <f>VLOOKUP(Mapping!$G16,_Plugs,15,FALSE)</f>
        <v>0.762081784386617</v>
      </c>
      <c r="K9" s="134">
        <f>VLOOKUP(Mapping!$G16,_Plugs,16,FALSE)</f>
        <v>1</v>
      </c>
      <c r="L9" s="135">
        <f>1000/VLOOKUP(Mapping!$J16,_ACM05,2,FALSE)</f>
        <v>100</v>
      </c>
      <c r="M9" s="135">
        <f>VLOOKUP(Mapping!$I16,_ECB_CS,2,FALSE)</f>
        <v>200</v>
      </c>
      <c r="N9" s="135">
        <f>VLOOKUP(Mapping!$J16,_ACM05,3,FALSE)</f>
        <v>250</v>
      </c>
      <c r="O9" s="135">
        <f>VLOOKUP(Mapping!$J16,_ACM05,4,FALSE)</f>
        <v>213</v>
      </c>
      <c r="P9" s="134">
        <f>VLOOKUP(Mapping!$J16,_ACM05,8,FALSE)</f>
        <v>0.15</v>
      </c>
      <c r="Q9" s="134">
        <v>0.15</v>
      </c>
      <c r="R9" s="135">
        <f>VLOOKUP(Mapping!$J16,_ACM05,6,FALSE)</f>
        <v>110</v>
      </c>
      <c r="S9" s="135">
        <f>VLOOKUP(Mapping!$I16,_ECB_CS,4,FALSE)</f>
        <v>135</v>
      </c>
      <c r="T9" s="134">
        <f>VLOOKUP(Mapping!$H16,_CEUS,2,FALSE)</f>
        <v>1.1301369863013697</v>
      </c>
      <c r="U9" s="134">
        <f>VLOOKUP(Mapping!$H16,_CEUS,3,FALSE)</f>
        <v>8.1050228310502279E-2</v>
      </c>
      <c r="V9" s="11" t="s">
        <v>35</v>
      </c>
      <c r="W9" s="11" t="s">
        <v>55</v>
      </c>
    </row>
    <row r="10" spans="1:24">
      <c r="A10" t="s">
        <v>491</v>
      </c>
      <c r="B10" s="27" t="s">
        <v>44</v>
      </c>
      <c r="C10" s="26">
        <f>VLOOKUP(Mapping!$E11,_90_1_2001,2,FALSE)</f>
        <v>1.5</v>
      </c>
      <c r="D10" s="26">
        <f>VLOOKUP(Mapping!$D11,_90_1_2007,2,FALSE)</f>
        <v>1</v>
      </c>
      <c r="E10" s="26">
        <f>VLOOKUP(Mapping!$C11,_90_1_2010,2,FALSE)</f>
        <v>0.61</v>
      </c>
      <c r="F10" s="26" t="str">
        <f>VLOOKUP(Mapping!$C11,_90_1_2010,3,FALSE)</f>
        <v>n.a.</v>
      </c>
      <c r="G10" s="134">
        <f>VLOOKUP(Mapping!$J11,_ACM05,5,FALSE)</f>
        <v>0.5</v>
      </c>
      <c r="H10" s="134">
        <f>VLOOKUP(Mapping!G11,_Plugs,13,FALSE)</f>
        <v>1.9561272315249876</v>
      </c>
      <c r="I10" s="134">
        <f>VLOOKUP(Mapping!$G11,_Plugs,14,FALSE)</f>
        <v>2</v>
      </c>
      <c r="J10" s="134">
        <f>VLOOKUP(Mapping!$G11,_Plugs,15,FALSE)</f>
        <v>0.29739776951672864</v>
      </c>
      <c r="K10" s="134">
        <f>VLOOKUP(Mapping!$G11,_Plugs,16,FALSE)</f>
        <v>1</v>
      </c>
      <c r="L10" s="135">
        <f>1000/VLOOKUP(Mapping!$J11,_ACM05,2,FALSE)</f>
        <v>200</v>
      </c>
      <c r="M10" s="135">
        <f>VLOOKUP(Mapping!$I11,_ECB_CS,2,FALSE)</f>
        <v>250</v>
      </c>
      <c r="N10" s="135">
        <f>VLOOKUP(Mapping!$J11,_ACM05,3,FALSE)</f>
        <v>245</v>
      </c>
      <c r="O10" s="135">
        <f>VLOOKUP(Mapping!$J11,_ACM05,4,FALSE)</f>
        <v>155</v>
      </c>
      <c r="P10" s="134">
        <f>VLOOKUP(Mapping!$J11,_ACM05,8,FALSE)</f>
        <v>0.15</v>
      </c>
      <c r="Q10" s="134" t="s">
        <v>45</v>
      </c>
      <c r="R10" s="135">
        <f>VLOOKUP(Mapping!$J11,_ACM05,6,FALSE)</f>
        <v>2800</v>
      </c>
      <c r="S10" s="135">
        <f>VLOOKUP(Mapping!$I11,_ECB_CS,4,FALSE)</f>
        <v>1700</v>
      </c>
      <c r="T10" s="134">
        <f>VLOOKUP(Mapping!$H11,_CEUS,2,FALSE)</f>
        <v>0.69634703196347048</v>
      </c>
      <c r="U10" s="134">
        <f>VLOOKUP(Mapping!$H11,_CEUS,3,FALSE)</f>
        <v>0.10273972602739725</v>
      </c>
      <c r="V10" s="11" t="s">
        <v>47</v>
      </c>
      <c r="W10" s="11" t="s">
        <v>48</v>
      </c>
    </row>
    <row r="11" spans="1:24">
      <c r="A11" t="s">
        <v>515</v>
      </c>
      <c r="B11" s="27" t="s">
        <v>57</v>
      </c>
      <c r="C11" s="26">
        <f>VLOOKUP(Mapping!$E17,_90_1_2001,2,FALSE)</f>
        <v>1.7</v>
      </c>
      <c r="D11" s="26">
        <f>VLOOKUP(Mapping!$D17,_90_1_2007,2,FALSE)</f>
        <v>1</v>
      </c>
      <c r="E11" s="26">
        <f>VLOOKUP(Mapping!$C17,_90_1_2010,2,FALSE)</f>
        <v>1</v>
      </c>
      <c r="F11" s="26" t="str">
        <f>VLOOKUP(Mapping!$C17,_90_1_2010,3,FALSE)</f>
        <v>n.a.</v>
      </c>
      <c r="G11" s="134">
        <f>VLOOKUP(Mapping!$J17,_ACM05,5,FALSE)</f>
        <v>0.5</v>
      </c>
      <c r="H11" s="134">
        <f>VLOOKUP(Mapping!G17,_Plugs,13,FALSE)</f>
        <v>1.5641288213559472</v>
      </c>
      <c r="I11" s="134">
        <f>VLOOKUP(Mapping!$G17,_Plugs,14,FALSE)</f>
        <v>2</v>
      </c>
      <c r="J11" s="134">
        <f>VLOOKUP(Mapping!$G17,_Plugs,15,FALSE)</f>
        <v>0.29739776951672864</v>
      </c>
      <c r="K11" s="134">
        <f>VLOOKUP(Mapping!$G17,_Plugs,16,FALSE)</f>
        <v>1</v>
      </c>
      <c r="L11" s="135">
        <f>1000/VLOOKUP(Mapping!$J17,_ACM05,2,FALSE)</f>
        <v>200</v>
      </c>
      <c r="M11" s="135">
        <f>VLOOKUP(Mapping!$I17,_ECB_CS,2,FALSE)</f>
        <v>250</v>
      </c>
      <c r="N11" s="135">
        <f>VLOOKUP(Mapping!$J17,_ACM05,3,FALSE)</f>
        <v>245</v>
      </c>
      <c r="O11" s="135">
        <f>VLOOKUP(Mapping!$J17,_ACM05,4,FALSE)</f>
        <v>155</v>
      </c>
      <c r="P11" s="134">
        <f>VLOOKUP(Mapping!$J17,_ACM05,8,FALSE)</f>
        <v>0.15</v>
      </c>
      <c r="Q11" s="134" t="s">
        <v>45</v>
      </c>
      <c r="R11" s="135">
        <f>VLOOKUP(Mapping!$J17,_ACM05,6,FALSE)</f>
        <v>2800</v>
      </c>
      <c r="S11" s="135">
        <f>VLOOKUP(Mapping!$I17,_ECB_CS,4,FALSE)</f>
        <v>1700</v>
      </c>
      <c r="T11" s="134">
        <f>VLOOKUP(Mapping!$H17,_CEUS,2,FALSE)</f>
        <v>0.69634703196347048</v>
      </c>
      <c r="U11" s="134">
        <f>VLOOKUP(Mapping!$H17,_CEUS,3,FALSE)</f>
        <v>0.10273972602739725</v>
      </c>
      <c r="V11" s="11" t="s">
        <v>58</v>
      </c>
      <c r="W11" s="11" t="s">
        <v>48</v>
      </c>
    </row>
    <row r="12" spans="1:24">
      <c r="A12" t="s">
        <v>515</v>
      </c>
      <c r="B12" s="27" t="s">
        <v>61</v>
      </c>
      <c r="C12" s="26">
        <f>VLOOKUP(Mapping!$E20,_90_1_2001,2,FALSE)</f>
        <v>2</v>
      </c>
      <c r="D12" s="26">
        <f>VLOOKUP(Mapping!$D20,_90_1_2007,2,FALSE)</f>
        <v>1</v>
      </c>
      <c r="E12" s="26">
        <f>VLOOKUP(Mapping!$C20,_90_1_2010,2,FALSE)</f>
        <v>0.88</v>
      </c>
      <c r="F12" s="26" t="str">
        <f>VLOOKUP(Mapping!$C20,_90_1_2010,3,FALSE)</f>
        <v>n.a.</v>
      </c>
      <c r="G12" s="134">
        <f>VLOOKUP(Mapping!$J20,_ACM05,5,FALSE)</f>
        <v>0.5</v>
      </c>
      <c r="H12" s="134">
        <f>VLOOKUP(Mapping!G20,_Plugs,13,FALSE)</f>
        <v>1.5641288213559472</v>
      </c>
      <c r="I12" s="134">
        <f>VLOOKUP(Mapping!$G20,_Plugs,14,FALSE)</f>
        <v>2</v>
      </c>
      <c r="J12" s="134">
        <f>VLOOKUP(Mapping!$G20,_Plugs,15,FALSE)</f>
        <v>0.29739776951672864</v>
      </c>
      <c r="K12" s="134">
        <f>VLOOKUP(Mapping!$G20,_Plugs,16,FALSE)</f>
        <v>1</v>
      </c>
      <c r="L12" s="135">
        <f>1000/VLOOKUP(Mapping!$J20,_ACM05,2,FALSE)</f>
        <v>200</v>
      </c>
      <c r="M12" s="135">
        <f>VLOOKUP(Mapping!$I20,_ECB_CS,2,FALSE)</f>
        <v>250</v>
      </c>
      <c r="N12" s="135">
        <f>VLOOKUP(Mapping!$J20,_ACM05,3,FALSE)</f>
        <v>245</v>
      </c>
      <c r="O12" s="135">
        <f>VLOOKUP(Mapping!$J20,_ACM05,4,FALSE)</f>
        <v>155</v>
      </c>
      <c r="P12" s="134">
        <f>VLOOKUP(Mapping!$J20,_ACM05,8,FALSE)</f>
        <v>0.15</v>
      </c>
      <c r="Q12" s="134" t="s">
        <v>45</v>
      </c>
      <c r="R12" s="135">
        <f>VLOOKUP(Mapping!$J20,_ACM05,6,FALSE)</f>
        <v>2800</v>
      </c>
      <c r="S12" s="135">
        <f>VLOOKUP(Mapping!$I20,_ECB_CS,4,FALSE)</f>
        <v>1700</v>
      </c>
      <c r="T12" s="134">
        <f>VLOOKUP(Mapping!$H20,_CEUS,2,FALSE)</f>
        <v>0.69634703196347048</v>
      </c>
      <c r="U12" s="134">
        <f>VLOOKUP(Mapping!$H20,_CEUS,3,FALSE)</f>
        <v>0.10273972602739725</v>
      </c>
      <c r="V12" s="11" t="s">
        <v>47</v>
      </c>
      <c r="W12" s="11" t="s">
        <v>48</v>
      </c>
    </row>
    <row r="13" spans="1:24">
      <c r="A13" s="73" t="s">
        <v>529</v>
      </c>
      <c r="B13" s="27" t="s">
        <v>63</v>
      </c>
      <c r="C13" s="26">
        <f>VLOOKUP(Mapping!$E22,_90_1_2001,2,FALSE)</f>
        <v>1</v>
      </c>
      <c r="D13" s="26">
        <f>VLOOKUP(Mapping!$D22,_90_1_2007,2,FALSE)</f>
        <v>0.7</v>
      </c>
      <c r="E13" s="26">
        <f>VLOOKUP(Mapping!$C22,_90_1_2010,2,FALSE)</f>
        <v>0.6</v>
      </c>
      <c r="F13" s="26" t="str">
        <f>VLOOKUP(Mapping!$C22,_90_1_2010,3,FALSE)</f>
        <v>n.a.</v>
      </c>
      <c r="G13" s="134">
        <f>VLOOKUP(Mapping!$J22,_ACM05,5,FALSE)</f>
        <v>0.5</v>
      </c>
      <c r="H13" s="134">
        <f>VLOOKUP(Mapping!G22,_Plugs,13,FALSE)</f>
        <v>1.4244758690515631</v>
      </c>
      <c r="I13" s="134">
        <f>VLOOKUP(Mapping!$G22,_Plugs,14,FALSE)</f>
        <v>2</v>
      </c>
      <c r="J13" s="134">
        <f>VLOOKUP(Mapping!$G22,_Plugs,15,FALSE)</f>
        <v>0.29739776951672864</v>
      </c>
      <c r="K13" s="134">
        <f>VLOOKUP(Mapping!$G22,_Plugs,16,FALSE)</f>
        <v>1</v>
      </c>
      <c r="L13" s="135">
        <f>1000/VLOOKUP(Mapping!$J22,_ACM05,2,FALSE)</f>
        <v>200</v>
      </c>
      <c r="M13" s="135">
        <f>VLOOKUP(Mapping!$I22,_ECB_CS,2,FALSE)</f>
        <v>250</v>
      </c>
      <c r="N13" s="135">
        <f>VLOOKUP(Mapping!$J22,_ACM05,3,FALSE)</f>
        <v>245</v>
      </c>
      <c r="O13" s="135">
        <f>VLOOKUP(Mapping!$J22,_ACM05,4,FALSE)</f>
        <v>155</v>
      </c>
      <c r="P13" s="134">
        <f>VLOOKUP(Mapping!$J22,_ACM05,8,FALSE)</f>
        <v>0.15</v>
      </c>
      <c r="Q13" s="134">
        <v>0.15</v>
      </c>
      <c r="R13" s="135">
        <f>VLOOKUP(Mapping!$J22,_ACM05,6,FALSE)</f>
        <v>1700</v>
      </c>
      <c r="S13" s="135">
        <f>VLOOKUP(Mapping!$I22,_ECB_CS,4,FALSE)</f>
        <v>1700</v>
      </c>
      <c r="T13" s="134">
        <f>VLOOKUP(Mapping!$H22,_CEUS,2,FALSE)</f>
        <v>0.69634703196347048</v>
      </c>
      <c r="U13" s="134">
        <f>VLOOKUP(Mapping!$H22,_CEUS,3,FALSE)</f>
        <v>0.10273972602739725</v>
      </c>
      <c r="V13" s="11" t="s">
        <v>47</v>
      </c>
      <c r="W13" s="11" t="s">
        <v>48</v>
      </c>
    </row>
    <row r="14" spans="1:24">
      <c r="A14" t="s">
        <v>520</v>
      </c>
      <c r="B14" s="27" t="s">
        <v>60</v>
      </c>
      <c r="C14" s="26">
        <f>VLOOKUP(Mapping!$E19,_90_1_2001,2,FALSE)</f>
        <v>2.2000000000000002</v>
      </c>
      <c r="D14" s="26">
        <f>VLOOKUP(Mapping!$D19,_90_1_2007,2,FALSE)</f>
        <v>1.3</v>
      </c>
      <c r="E14" s="26">
        <f>VLOOKUP(Mapping!$C19,_90_1_2010,2,FALSE)</f>
        <v>1.1100000000000001</v>
      </c>
      <c r="F14" s="26" t="str">
        <f>VLOOKUP(Mapping!$C19,_90_1_2010,3,FALSE)</f>
        <v>n.a.</v>
      </c>
      <c r="G14" s="134">
        <f>VLOOKUP(Mapping!$J19,_ACM05,5,FALSE)</f>
        <v>1</v>
      </c>
      <c r="H14" s="134">
        <f>VLOOKUP(Mapping!G19,_Plugs,13,FALSE)</f>
        <v>0.34481488715257669</v>
      </c>
      <c r="I14" s="134">
        <f>VLOOKUP(Mapping!$G19,_Plugs,14,FALSE)</f>
        <v>2</v>
      </c>
      <c r="J14" s="134">
        <f>VLOOKUP(Mapping!$G19,_Plugs,15,FALSE)</f>
        <v>0.18587360594795541</v>
      </c>
      <c r="K14" s="134">
        <f>VLOOKUP(Mapping!$G19,_Plugs,16,FALSE)</f>
        <v>1</v>
      </c>
      <c r="L14" s="135">
        <f>1000/VLOOKUP(Mapping!$J19,_ACM05,2,FALSE)</f>
        <v>142.85714285714286</v>
      </c>
      <c r="M14" s="135">
        <f>VLOOKUP(Mapping!$I19,_ECB_CS,2,FALSE)</f>
        <v>750</v>
      </c>
      <c r="N14" s="135">
        <f>VLOOKUP(Mapping!$J19,_ACM05,3,FALSE)</f>
        <v>375</v>
      </c>
      <c r="O14" s="135">
        <f>VLOOKUP(Mapping!$J19,_ACM05,4,FALSE)</f>
        <v>625</v>
      </c>
      <c r="P14" s="134">
        <f>VLOOKUP(Mapping!$J19,_ACM05,8,FALSE)</f>
        <v>0.15</v>
      </c>
      <c r="Q14" s="134">
        <v>0.15</v>
      </c>
      <c r="R14" s="135">
        <f>VLOOKUP(Mapping!$J19,_ACM05,6,FALSE)</f>
        <v>120</v>
      </c>
      <c r="S14" s="135">
        <f>VLOOKUP(Mapping!$I19,_ECB_CS,4,FALSE)</f>
        <v>225</v>
      </c>
      <c r="T14" s="134">
        <f>VLOOKUP(Mapping!$H19,_CEUS,2,FALSE)</f>
        <v>0.75342465753424659</v>
      </c>
      <c r="U14" s="134">
        <f>VLOOKUP(Mapping!$H19,_CEUS,3,FALSE)</f>
        <v>9.8173515981735154E-2</v>
      </c>
      <c r="V14" s="11" t="s">
        <v>35</v>
      </c>
      <c r="W14" s="11" t="s">
        <v>36</v>
      </c>
    </row>
    <row r="15" spans="1:24">
      <c r="A15" t="s">
        <v>562</v>
      </c>
      <c r="B15" s="27" t="s">
        <v>82</v>
      </c>
      <c r="C15" s="26">
        <f>VLOOKUP(Mapping!$E36,_90_1_2001,2,FALSE)</f>
        <v>1.2</v>
      </c>
      <c r="D15" s="26">
        <f>VLOOKUP(Mapping!$D36,_90_1_2007,2,FALSE)</f>
        <v>0.8</v>
      </c>
      <c r="E15" s="26">
        <f>VLOOKUP(Mapping!$C36,_90_1_2010,2,FALSE)</f>
        <v>0.66</v>
      </c>
      <c r="F15" s="26" t="str">
        <f>VLOOKUP(Mapping!$C36,_90_1_2010,3,FALSE)</f>
        <v>n.a.</v>
      </c>
      <c r="G15" s="134">
        <f>VLOOKUP(Mapping!$J36,_ACM05,5,FALSE)</f>
        <v>0.2</v>
      </c>
      <c r="H15" s="134">
        <f>VLOOKUP(Mapping!G36,_Plugs,13,FALSE)</f>
        <v>0.30230662613081127</v>
      </c>
      <c r="I15" s="134">
        <f>VLOOKUP(Mapping!$G36,_Plugs,14,FALSE)</f>
        <v>2</v>
      </c>
      <c r="J15" s="134">
        <f>VLOOKUP(Mapping!$G36,_Plugs,15,FALSE)</f>
        <v>0.18587360594795541</v>
      </c>
      <c r="K15" s="134">
        <f>VLOOKUP(Mapping!$G36,_Plugs,16,FALSE)</f>
        <v>1</v>
      </c>
      <c r="L15" s="135">
        <f>1000/VLOOKUP(Mapping!$J36,_ACM05,2,FALSE)</f>
        <v>333.33333333333331</v>
      </c>
      <c r="M15" s="135">
        <f>VLOOKUP(Mapping!$I36,_ECB_CS,2,FALSE)</f>
        <v>15000</v>
      </c>
      <c r="N15" s="135">
        <f>VLOOKUP(Mapping!$J36,_ACM05,3,FALSE)</f>
        <v>275</v>
      </c>
      <c r="O15" s="135">
        <f>VLOOKUP(Mapping!$J36,_ACM05,4,FALSE)</f>
        <v>475</v>
      </c>
      <c r="P15" s="134">
        <f>VLOOKUP(Mapping!$J36,_ACM05,8,FALSE)</f>
        <v>0.15</v>
      </c>
      <c r="Q15" s="134">
        <v>0.15</v>
      </c>
      <c r="R15" s="135">
        <f>VLOOKUP(Mapping!$J36,_ACM05,6,FALSE)</f>
        <v>120</v>
      </c>
      <c r="S15" s="135">
        <f>VLOOKUP(Mapping!$I36,_ECB_CS,4,FALSE)</f>
        <v>1000</v>
      </c>
      <c r="T15" s="134">
        <f>VLOOKUP(Mapping!$H36,_CEUS,2,FALSE)</f>
        <v>0</v>
      </c>
      <c r="U15" s="134">
        <f>VLOOKUP(Mapping!$H36,_CEUS,3,FALSE)</f>
        <v>3.1963470319634701E-2</v>
      </c>
      <c r="V15" s="11" t="s">
        <v>35</v>
      </c>
      <c r="W15" s="11" t="s">
        <v>83</v>
      </c>
    </row>
    <row r="16" spans="1:24">
      <c r="A16" t="s">
        <v>476</v>
      </c>
      <c r="B16" s="27" t="s">
        <v>39</v>
      </c>
      <c r="C16" s="26">
        <f>VLOOKUP(Mapping!$E7,_90_1_2001,2,FALSE)</f>
        <v>1.4</v>
      </c>
      <c r="D16" s="26">
        <f>VLOOKUP(Mapping!$D7,_90_1_2007,2,FALSE)</f>
        <v>1.2</v>
      </c>
      <c r="E16" s="26">
        <f>VLOOKUP(Mapping!$C7,_90_1_2010,2,FALSE)</f>
        <v>1.05</v>
      </c>
      <c r="F16" s="26" t="str">
        <f>VLOOKUP(Mapping!$C7,_90_1_2010,3,FALSE)</f>
        <v>n.a.</v>
      </c>
      <c r="G16" s="134">
        <f>VLOOKUP(Mapping!$J7,_ACM05,5,FALSE)</f>
        <v>0.96</v>
      </c>
      <c r="H16" s="134">
        <f>VLOOKUP(Mapping!G7,_Plugs,13,FALSE)</f>
        <v>1.6689815831571153</v>
      </c>
      <c r="I16" s="134">
        <f>VLOOKUP(Mapping!$G7,_Plugs,14,FALSE)</f>
        <v>2</v>
      </c>
      <c r="J16" s="134">
        <f>VLOOKUP(Mapping!$G7,_Plugs,15,FALSE)</f>
        <v>0.77137546468401497</v>
      </c>
      <c r="K16" s="134">
        <f>VLOOKUP(Mapping!$G7,_Plugs,16,FALSE)</f>
        <v>1</v>
      </c>
      <c r="L16" s="135">
        <f>1000/VLOOKUP(Mapping!$J7,_ACM05,2,FALSE)</f>
        <v>7.3529411764705879</v>
      </c>
      <c r="M16" s="135">
        <f>VLOOKUP(Mapping!$I7,_ECB_CS,2,FALSE)</f>
        <v>200</v>
      </c>
      <c r="N16" s="135">
        <f>VLOOKUP(Mapping!$J7,_ACM05,3,FALSE)</f>
        <v>245</v>
      </c>
      <c r="O16" s="135">
        <f>VLOOKUP(Mapping!$J7,_ACM05,4,FALSE)</f>
        <v>112</v>
      </c>
      <c r="P16" s="134">
        <f>VLOOKUP(Mapping!$J7,_ACM05,8,FALSE)</f>
        <v>1.02</v>
      </c>
      <c r="Q16" s="134">
        <v>1.07</v>
      </c>
      <c r="R16" s="135">
        <f>VLOOKUP(Mapping!$J7,_ACM05,6,FALSE)</f>
        <v>57</v>
      </c>
      <c r="S16" s="135">
        <f>VLOOKUP(Mapping!$I7,_ECB_CS,4,FALSE)</f>
        <v>135</v>
      </c>
      <c r="T16" s="134">
        <f>VLOOKUP(Mapping!$H7,_CEUS,2,FALSE)</f>
        <v>0.17123287671232876</v>
      </c>
      <c r="U16" s="134">
        <f>VLOOKUP(Mapping!$H7,_CEUS,3,FALSE)</f>
        <v>4.6803652968036527E-2</v>
      </c>
      <c r="V16" s="11" t="s">
        <v>35</v>
      </c>
      <c r="W16" s="11" t="s">
        <v>38</v>
      </c>
    </row>
    <row r="17" spans="1:23">
      <c r="A17" t="s">
        <v>534</v>
      </c>
      <c r="B17" s="27" t="s">
        <v>66</v>
      </c>
      <c r="C17" s="26">
        <f>VLOOKUP(Mapping!$E24,_90_1_2001,2,FALSE)</f>
        <v>1.3</v>
      </c>
      <c r="D17" s="26">
        <f>VLOOKUP(Mapping!$D24,_90_1_2007,2,FALSE)</f>
        <v>1</v>
      </c>
      <c r="E17" s="26">
        <f>VLOOKUP(Mapping!$C24,_90_1_2010,2,FALSE)</f>
        <v>0.9</v>
      </c>
      <c r="F17" s="26" t="str">
        <f>VLOOKUP(Mapping!$C24,_90_1_2010,3,FALSE)</f>
        <v>n.a.</v>
      </c>
      <c r="G17" s="134">
        <f>VLOOKUP(Mapping!$J24,_ACM05,5,FALSE)</f>
        <v>1.34</v>
      </c>
      <c r="H17" s="134">
        <f>VLOOKUP(Mapping!G24,_Plugs,13,FALSE)</f>
        <v>1.672119383011335</v>
      </c>
      <c r="I17" s="134">
        <f>VLOOKUP(Mapping!$G24,_Plugs,14,FALSE)</f>
        <v>2</v>
      </c>
      <c r="J17" s="134">
        <f>VLOOKUP(Mapping!$G24,_Plugs,15,FALSE)</f>
        <v>0.77137546468401497</v>
      </c>
      <c r="K17" s="134">
        <f>VLOOKUP(Mapping!$G24,_Plugs,16,FALSE)</f>
        <v>1</v>
      </c>
      <c r="L17" s="135">
        <f>1000/VLOOKUP(Mapping!$J24,_ACM05,2,FALSE)</f>
        <v>100</v>
      </c>
      <c r="M17" s="135">
        <f>VLOOKUP(Mapping!$I24,_ECB_CS,2,FALSE)</f>
        <v>250</v>
      </c>
      <c r="N17" s="135">
        <f>VLOOKUP(Mapping!$J24,_ACM05,3,FALSE)</f>
        <v>250</v>
      </c>
      <c r="O17" s="135">
        <f>VLOOKUP(Mapping!$J24,_ACM05,4,FALSE)</f>
        <v>206</v>
      </c>
      <c r="P17" s="134">
        <f>VLOOKUP(Mapping!$J24,_ACM05,8,FALSE)</f>
        <v>0.15</v>
      </c>
      <c r="Q17" s="134">
        <v>0.15</v>
      </c>
      <c r="R17" s="135">
        <f>VLOOKUP(Mapping!$J24,_ACM05,6,FALSE)</f>
        <v>106</v>
      </c>
      <c r="S17" s="135">
        <f>VLOOKUP(Mapping!$I24,_ECB_CS,4,FALSE)</f>
        <v>300</v>
      </c>
      <c r="T17" s="134">
        <f>VLOOKUP(Mapping!$H24,_CEUS,2,FALSE)</f>
        <v>0.12557077625570776</v>
      </c>
      <c r="U17" s="134">
        <f>VLOOKUP(Mapping!$H24,_CEUS,3,FALSE)</f>
        <v>5.3652968036529677E-2</v>
      </c>
      <c r="V17" s="11" t="s">
        <v>35</v>
      </c>
      <c r="W17" s="11" t="s">
        <v>52</v>
      </c>
    </row>
    <row r="18" spans="1:23">
      <c r="A18" t="s">
        <v>507</v>
      </c>
      <c r="B18" s="27" t="s">
        <v>54</v>
      </c>
      <c r="C18" s="26">
        <f>VLOOKUP(Mapping!$E15,_90_1_2001,2,FALSE)</f>
        <v>1.6</v>
      </c>
      <c r="D18" s="26">
        <f>VLOOKUP(Mapping!$D15,_90_1_2007,2,FALSE)</f>
        <v>1</v>
      </c>
      <c r="E18" s="26">
        <f>VLOOKUP(Mapping!$C15,_90_1_2010,2,FALSE)</f>
        <v>0.87</v>
      </c>
      <c r="F18" s="26" t="str">
        <f>VLOOKUP(Mapping!$C15,_90_1_2010,3,FALSE)</f>
        <v>n.a.</v>
      </c>
      <c r="G18" s="134">
        <f>VLOOKUP(Mapping!$J15,_ACM05,5,FALSE)</f>
        <v>1.18</v>
      </c>
      <c r="H18" s="134">
        <f>VLOOKUP(Mapping!G15,_Plugs,13,FALSE)</f>
        <v>1.2201659385238521</v>
      </c>
      <c r="I18" s="134">
        <f>VLOOKUP(Mapping!$G15,_Plugs,14,FALSE)</f>
        <v>2</v>
      </c>
      <c r="J18" s="134">
        <f>VLOOKUP(Mapping!$G15,_Plugs,15,FALSE)</f>
        <v>0.54832713754646845</v>
      </c>
      <c r="K18" s="134">
        <f>VLOOKUP(Mapping!$G15,_Plugs,16,FALSE)</f>
        <v>1</v>
      </c>
      <c r="L18" s="135">
        <f>1000/VLOOKUP(Mapping!$J15,_ACM05,2,FALSE)</f>
        <v>100</v>
      </c>
      <c r="M18" s="135">
        <f>VLOOKUP(Mapping!$I15,_ECB_CS,2,FALSE)</f>
        <v>200</v>
      </c>
      <c r="N18" s="135">
        <f>VLOOKUP(Mapping!$J15,_ACM05,3,FALSE)</f>
        <v>250</v>
      </c>
      <c r="O18" s="135">
        <f>VLOOKUP(Mapping!$J15,_ACM05,4,FALSE)</f>
        <v>213</v>
      </c>
      <c r="P18" s="134">
        <f>VLOOKUP(Mapping!$J15,_ACM05,8,FALSE)</f>
        <v>0.15</v>
      </c>
      <c r="Q18" s="134">
        <v>0.15</v>
      </c>
      <c r="R18" s="135">
        <f>VLOOKUP(Mapping!$J15,_ACM05,6,FALSE)</f>
        <v>110</v>
      </c>
      <c r="S18" s="135">
        <f>VLOOKUP(Mapping!$I15,_ECB_CS,4,FALSE)</f>
        <v>135</v>
      </c>
      <c r="T18" s="134">
        <f>VLOOKUP(Mapping!$H15,_CEUS,2,FALSE)</f>
        <v>1.1301369863013697</v>
      </c>
      <c r="U18" s="134">
        <f>VLOOKUP(Mapping!$H15,_CEUS,3,FALSE)</f>
        <v>8.1050228310502279E-2</v>
      </c>
      <c r="V18" s="11" t="s">
        <v>35</v>
      </c>
      <c r="W18" s="11" t="s">
        <v>55</v>
      </c>
    </row>
    <row r="19" spans="1:23">
      <c r="A19" t="s">
        <v>525</v>
      </c>
      <c r="B19" s="27" t="s">
        <v>62</v>
      </c>
      <c r="C19" s="26">
        <f>VLOOKUP(Mapping!$E21,_90_1_2001,2,FALSE)</f>
        <v>1.6</v>
      </c>
      <c r="D19" s="26">
        <f>VLOOKUP(Mapping!$D21,_90_1_2007,2,FALSE)</f>
        <v>1.2</v>
      </c>
      <c r="E19" s="26">
        <f>VLOOKUP(Mapping!$C21,_90_1_2010,2,FALSE)</f>
        <v>0.83</v>
      </c>
      <c r="F19" s="26" t="str">
        <f>VLOOKUP(Mapping!$C21,_90_1_2010,3,FALSE)</f>
        <v>n.a.</v>
      </c>
      <c r="G19" s="134">
        <f>VLOOKUP(Mapping!$J21,_ACM05,5,FALSE)</f>
        <v>1</v>
      </c>
      <c r="H19" s="134">
        <f>VLOOKUP(Mapping!G21,_Plugs,13,FALSE)</f>
        <v>0.74485358050420625</v>
      </c>
      <c r="I19" s="134">
        <f>VLOOKUP(Mapping!$G21,_Plugs,14,FALSE)</f>
        <v>2</v>
      </c>
      <c r="J19" s="134">
        <f>VLOOKUP(Mapping!$G21,_Plugs,15,FALSE)</f>
        <v>0.54832713754646845</v>
      </c>
      <c r="K19" s="134">
        <f>VLOOKUP(Mapping!$G21,_Plugs,16,FALSE)</f>
        <v>1</v>
      </c>
      <c r="L19" s="135">
        <f>1000/VLOOKUP(Mapping!$J21,_ACM05,2,FALSE)</f>
        <v>6.9930069930069934</v>
      </c>
      <c r="M19" s="135">
        <f>VLOOKUP(Mapping!$I21,_ECB_CS,2,FALSE)</f>
        <v>50</v>
      </c>
      <c r="N19" s="135">
        <f>VLOOKUP(Mapping!$J21,_ACM05,3,FALSE)</f>
        <v>245</v>
      </c>
      <c r="O19" s="135">
        <f>VLOOKUP(Mapping!$J21,_ACM05,4,FALSE)</f>
        <v>105</v>
      </c>
      <c r="P19" s="134">
        <f>VLOOKUP(Mapping!$J21,_ACM05,8,FALSE)</f>
        <v>1.07</v>
      </c>
      <c r="Q19" s="134">
        <v>0.98</v>
      </c>
      <c r="R19" s="135">
        <f>VLOOKUP(Mapping!$J21,_ACM05,6,FALSE)</f>
        <v>60</v>
      </c>
      <c r="S19" s="135">
        <f>VLOOKUP(Mapping!$I21,_ECB_CS,4,FALSE)</f>
        <v>215</v>
      </c>
      <c r="T19" s="134">
        <f>VLOOKUP(Mapping!$H21,_CEUS,2,FALSE)</f>
        <v>2.2831050228310501E-2</v>
      </c>
      <c r="U19" s="134">
        <f>VLOOKUP(Mapping!$H21,_CEUS,3,FALSE)</f>
        <v>6.6210045662100453E-2</v>
      </c>
      <c r="V19" s="11" t="s">
        <v>35</v>
      </c>
      <c r="W19" s="11" t="s">
        <v>38</v>
      </c>
    </row>
    <row r="20" spans="1:23">
      <c r="A20" t="s">
        <v>525</v>
      </c>
      <c r="B20" s="27" t="s">
        <v>65</v>
      </c>
      <c r="C20" s="26">
        <f>VLOOKUP(Mapping!$E23,_90_1_2001,2,FALSE)</f>
        <v>1.6</v>
      </c>
      <c r="D20" s="26">
        <f>VLOOKUP(Mapping!$D23,_90_1_2007,2,FALSE)</f>
        <v>1.1000000000000001</v>
      </c>
      <c r="E20" s="26">
        <f>VLOOKUP(Mapping!$C23,_90_1_2010,2,FALSE)</f>
        <v>1.06</v>
      </c>
      <c r="F20" s="26" t="str">
        <f>VLOOKUP(Mapping!$C23,_90_1_2010,3,FALSE)</f>
        <v>n.a.</v>
      </c>
      <c r="G20" s="134">
        <f>VLOOKUP(Mapping!$J23,_ACM05,5,FALSE)</f>
        <v>1.5</v>
      </c>
      <c r="H20" s="134">
        <f>VLOOKUP(Mapping!G23,_Plugs,13,FALSE)</f>
        <v>0.74485358050420625</v>
      </c>
      <c r="I20" s="134">
        <f>VLOOKUP(Mapping!$G23,_Plugs,14,FALSE)</f>
        <v>2</v>
      </c>
      <c r="J20" s="134">
        <f>VLOOKUP(Mapping!$G23,_Plugs,15,FALSE)</f>
        <v>0.54832713754646845</v>
      </c>
      <c r="K20" s="134">
        <f>VLOOKUP(Mapping!$G23,_Plugs,16,FALSE)</f>
        <v>1</v>
      </c>
      <c r="L20" s="135">
        <f>1000/VLOOKUP(Mapping!$J23,_ACM05,2,FALSE)</f>
        <v>14.925373134328359</v>
      </c>
      <c r="M20" s="135">
        <f>VLOOKUP(Mapping!$I23,_ECB_CS,2,FALSE)</f>
        <v>50</v>
      </c>
      <c r="N20" s="135">
        <f>VLOOKUP(Mapping!$J23,_ACM05,3,FALSE)</f>
        <v>250</v>
      </c>
      <c r="O20" s="135">
        <f>VLOOKUP(Mapping!$J23,_ACM05,4,FALSE)</f>
        <v>250</v>
      </c>
      <c r="P20" s="134">
        <f>VLOOKUP(Mapping!$J23,_ACM05,8,FALSE)</f>
        <v>0.5</v>
      </c>
      <c r="Q20" s="134">
        <v>0.15</v>
      </c>
      <c r="R20" s="135">
        <f>VLOOKUP(Mapping!$J23,_ACM05,6,FALSE)</f>
        <v>60</v>
      </c>
      <c r="S20" s="135">
        <f>VLOOKUP(Mapping!$I23,_ECB_CS,4,FALSE)</f>
        <v>215</v>
      </c>
      <c r="T20" s="134">
        <f>VLOOKUP(Mapping!$H23,_CEUS,2,FALSE)</f>
        <v>2.2831050228310501E-2</v>
      </c>
      <c r="U20" s="134">
        <f>VLOOKUP(Mapping!$H23,_CEUS,3,FALSE)</f>
        <v>6.6210045662100453E-2</v>
      </c>
      <c r="V20" s="11" t="s">
        <v>35</v>
      </c>
      <c r="W20" s="11" t="s">
        <v>38</v>
      </c>
    </row>
    <row r="21" spans="1:23">
      <c r="A21" t="s">
        <v>525</v>
      </c>
      <c r="B21" s="27" t="s">
        <v>71</v>
      </c>
      <c r="C21" s="26">
        <f>VLOOKUP(Mapping!$E27,_90_1_2001,2,FALSE)</f>
        <v>1.5</v>
      </c>
      <c r="D21" s="26">
        <f>VLOOKUP(Mapping!$D27,_90_1_2007,2,FALSE)</f>
        <v>1.6</v>
      </c>
      <c r="E21" s="26">
        <f>VLOOKUP(Mapping!$C27,_90_1_2010,2,FALSE)</f>
        <v>1.36</v>
      </c>
      <c r="F21" s="26" t="str">
        <f>VLOOKUP(Mapping!$C27,_90_1_2010,3,FALSE)</f>
        <v>n.a.</v>
      </c>
      <c r="G21" s="134">
        <f>VLOOKUP(Mapping!$J27,_ACM05,5,FALSE)</f>
        <v>0.5</v>
      </c>
      <c r="H21" s="134">
        <f>VLOOKUP(Mapping!G27,_Plugs,13,FALSE)</f>
        <v>0.74485358050420625</v>
      </c>
      <c r="I21" s="134">
        <f>VLOOKUP(Mapping!$G27,_Plugs,14,FALSE)</f>
        <v>2</v>
      </c>
      <c r="J21" s="134">
        <f>VLOOKUP(Mapping!$G27,_Plugs,15,FALSE)</f>
        <v>0.54832713754646845</v>
      </c>
      <c r="K21" s="134">
        <f>VLOOKUP(Mapping!$G27,_Plugs,16,FALSE)</f>
        <v>1</v>
      </c>
      <c r="L21" s="135">
        <f>1000/VLOOKUP(Mapping!$J27,_ACM05,2,FALSE)</f>
        <v>6.9930069930069934</v>
      </c>
      <c r="M21" s="135">
        <f>VLOOKUP(Mapping!$I27,_ECB_CS,2,FALSE)</f>
        <v>50</v>
      </c>
      <c r="N21" s="135">
        <f>VLOOKUP(Mapping!$J27,_ACM05,3,FALSE)</f>
        <v>245</v>
      </c>
      <c r="O21" s="135">
        <f>VLOOKUP(Mapping!$J27,_ACM05,4,FALSE)</f>
        <v>105</v>
      </c>
      <c r="P21" s="134">
        <f>VLOOKUP(Mapping!$J27,_ACM05,8,FALSE)</f>
        <v>1.07</v>
      </c>
      <c r="Q21" s="134">
        <v>0.98</v>
      </c>
      <c r="R21" s="135">
        <f>VLOOKUP(Mapping!$J27,_ACM05,6,FALSE)</f>
        <v>60</v>
      </c>
      <c r="S21" s="135">
        <f>VLOOKUP(Mapping!$I27,_ECB_CS,4,FALSE)</f>
        <v>215</v>
      </c>
      <c r="T21" s="134">
        <f>VLOOKUP(Mapping!$H27,_CEUS,2,FALSE)</f>
        <v>2.2831050228310501E-2</v>
      </c>
      <c r="U21" s="134">
        <f>VLOOKUP(Mapping!$H27,_CEUS,3,FALSE)</f>
        <v>6.6210045662100453E-2</v>
      </c>
      <c r="V21" s="11" t="s">
        <v>35</v>
      </c>
      <c r="W21" s="11" t="s">
        <v>38</v>
      </c>
    </row>
    <row r="22" spans="1:23">
      <c r="A22" t="s">
        <v>516</v>
      </c>
      <c r="B22" s="27" t="s">
        <v>59</v>
      </c>
      <c r="C22" s="26">
        <f>VLOOKUP(Mapping!$E18,_90_1_2001,2,FALSE)</f>
        <v>1.5</v>
      </c>
      <c r="D22" s="26">
        <f>VLOOKUP(Mapping!$D18,_90_1_2007,2,FALSE)</f>
        <v>1.3</v>
      </c>
      <c r="E22" s="26">
        <f>VLOOKUP(Mapping!$C18,_90_1_2010,2,FALSE)</f>
        <v>1.18</v>
      </c>
      <c r="F22" s="26" t="str">
        <f>VLOOKUP(Mapping!$C18,_90_1_2010,3,FALSE)</f>
        <v>n.a.</v>
      </c>
      <c r="G22" s="134">
        <f>VLOOKUP(Mapping!$J18,_ACM05,5,FALSE)</f>
        <v>1.5</v>
      </c>
      <c r="H22" s="134">
        <f>VLOOKUP(Mapping!G18,_Plugs,13,FALSE)</f>
        <v>0.93722970243154469</v>
      </c>
      <c r="I22" s="134">
        <f>VLOOKUP(Mapping!$G18,_Plugs,14,FALSE)</f>
        <v>2</v>
      </c>
      <c r="J22" s="134">
        <f>VLOOKUP(Mapping!$G18,_Plugs,15,FALSE)</f>
        <v>0.54832713754646845</v>
      </c>
      <c r="K22" s="134">
        <f>VLOOKUP(Mapping!$G18,_Plugs,16,FALSE)</f>
        <v>1</v>
      </c>
      <c r="L22" s="135">
        <f>1000/VLOOKUP(Mapping!$J18,_ACM05,2,FALSE)</f>
        <v>100</v>
      </c>
      <c r="M22" s="135">
        <f>VLOOKUP(Mapping!$I18,_ECB_CS,2,FALSE)</f>
        <v>75</v>
      </c>
      <c r="N22" s="135">
        <f>VLOOKUP(Mapping!$J18,_ACM05,3,FALSE)</f>
        <v>250</v>
      </c>
      <c r="O22" s="135">
        <f>VLOOKUP(Mapping!$J18,_ACM05,4,FALSE)</f>
        <v>250</v>
      </c>
      <c r="P22" s="134">
        <f>VLOOKUP(Mapping!$J18,_ACM05,8,FALSE)</f>
        <v>0.15</v>
      </c>
      <c r="Q22" s="134">
        <v>0.15</v>
      </c>
      <c r="R22" s="135">
        <f>VLOOKUP(Mapping!$J18,_ACM05,6,FALSE)</f>
        <v>120</v>
      </c>
      <c r="S22" s="135">
        <f>VLOOKUP(Mapping!$I18,_ECB_CS,4,FALSE)</f>
        <v>215</v>
      </c>
      <c r="T22" s="134">
        <f>VLOOKUP(Mapping!$H18,_CEUS,2,FALSE)</f>
        <v>2.2831050228310501E-2</v>
      </c>
      <c r="U22" s="134">
        <f>VLOOKUP(Mapping!$H18,_CEUS,3,FALSE)</f>
        <v>6.6210045662100453E-2</v>
      </c>
      <c r="V22" s="11" t="s">
        <v>35</v>
      </c>
      <c r="W22" s="11" t="s">
        <v>38</v>
      </c>
    </row>
    <row r="23" spans="1:23">
      <c r="A23" t="s">
        <v>470</v>
      </c>
      <c r="B23" s="27" t="s">
        <v>37</v>
      </c>
      <c r="C23" s="26">
        <f>VLOOKUP(Mapping!$E6,_90_1_2001,2,FALSE)</f>
        <v>1.4</v>
      </c>
      <c r="D23" s="26">
        <f>VLOOKUP(Mapping!$D6,_90_1_2007,2,FALSE)</f>
        <v>1.2</v>
      </c>
      <c r="E23" s="26">
        <f>VLOOKUP(Mapping!$C6,_90_1_2010,2,FALSE)</f>
        <v>1.08</v>
      </c>
      <c r="F23" s="26" t="str">
        <f>VLOOKUP(Mapping!$C6,_90_1_2010,3,FALSE)</f>
        <v>n.a.</v>
      </c>
      <c r="G23" s="134">
        <f>VLOOKUP(Mapping!$J6,_ACM05,5,FALSE)</f>
        <v>0.96</v>
      </c>
      <c r="H23" s="134">
        <f>VLOOKUP(Mapping!G6,_Plugs,13,FALSE)</f>
        <v>0.74760799257268662</v>
      </c>
      <c r="I23" s="134">
        <f>VLOOKUP(Mapping!$G6,_Plugs,14,FALSE)</f>
        <v>2</v>
      </c>
      <c r="J23" s="134">
        <f>VLOOKUP(Mapping!$G6,_Plugs,15,FALSE)</f>
        <v>0.54832713754646845</v>
      </c>
      <c r="K23" s="134">
        <f>VLOOKUP(Mapping!$G6,_Plugs,16,FALSE)</f>
        <v>1</v>
      </c>
      <c r="L23" s="135">
        <f>1000/VLOOKUP(Mapping!$J6,_ACM05,2,FALSE)</f>
        <v>7.3529411764705879</v>
      </c>
      <c r="M23" s="135">
        <f>VLOOKUP(Mapping!$I6,_ECB_CS,2,FALSE)</f>
        <v>50</v>
      </c>
      <c r="N23" s="135">
        <f>VLOOKUP(Mapping!$J6,_ACM05,3,FALSE)</f>
        <v>245</v>
      </c>
      <c r="O23" s="135">
        <f>VLOOKUP(Mapping!$J6,_ACM05,4,FALSE)</f>
        <v>112</v>
      </c>
      <c r="P23" s="134">
        <f>VLOOKUP(Mapping!$J6,_ACM05,8,FALSE)</f>
        <v>1.02</v>
      </c>
      <c r="Q23" s="134">
        <v>1.02</v>
      </c>
      <c r="R23" s="135">
        <f>VLOOKUP(Mapping!$J6,_ACM05,6,FALSE)</f>
        <v>57</v>
      </c>
      <c r="S23" s="135">
        <f>VLOOKUP(Mapping!$I6,_ECB_CS,4,FALSE)</f>
        <v>215</v>
      </c>
      <c r="T23" s="134">
        <f>VLOOKUP(Mapping!$H6,_CEUS,2,FALSE)</f>
        <v>2.2831050228310501E-2</v>
      </c>
      <c r="U23" s="134">
        <f>VLOOKUP(Mapping!$H6,_CEUS,3,FALSE)</f>
        <v>6.6210045662100453E-2</v>
      </c>
      <c r="V23" s="11" t="s">
        <v>35</v>
      </c>
      <c r="W23" s="11" t="s">
        <v>38</v>
      </c>
    </row>
    <row r="24" spans="1:23">
      <c r="A24" t="s">
        <v>470</v>
      </c>
      <c r="B24" s="27" t="s">
        <v>79</v>
      </c>
      <c r="C24" s="26">
        <f>VLOOKUP(Mapping!$E33,_90_1_2001,2,FALSE)</f>
        <v>1.5</v>
      </c>
      <c r="D24" s="26">
        <f>VLOOKUP(Mapping!$D33,_90_1_2007,2,FALSE)</f>
        <v>1.1000000000000001</v>
      </c>
      <c r="E24" s="26">
        <f>VLOOKUP(Mapping!$C33,_90_1_2010,2,FALSE)</f>
        <v>0.78</v>
      </c>
      <c r="F24" s="26" t="str">
        <f>VLOOKUP(Mapping!$C33,_90_1_2010,3,FALSE)</f>
        <v>n.a.</v>
      </c>
      <c r="G24" s="134">
        <f>VLOOKUP(Mapping!$J33,_ACM05,5,FALSE)</f>
        <v>1</v>
      </c>
      <c r="H24" s="134">
        <f>VLOOKUP(Mapping!G33,_Plugs,13,FALSE)</f>
        <v>0.74760799257268662</v>
      </c>
      <c r="I24" s="134">
        <f>VLOOKUP(Mapping!$G33,_Plugs,14,FALSE)</f>
        <v>2</v>
      </c>
      <c r="J24" s="134">
        <f>VLOOKUP(Mapping!$G33,_Plugs,15,FALSE)</f>
        <v>0.54832713754646845</v>
      </c>
      <c r="K24" s="134">
        <f>VLOOKUP(Mapping!$G33,_Plugs,16,FALSE)</f>
        <v>1</v>
      </c>
      <c r="L24" s="135">
        <f>1000/VLOOKUP(Mapping!$J33,_ACM05,2,FALSE)</f>
        <v>6.9930069930069934</v>
      </c>
      <c r="M24" s="135">
        <f>VLOOKUP(Mapping!$I33,_ECB_CS,2,FALSE)</f>
        <v>50</v>
      </c>
      <c r="N24" s="135">
        <f>VLOOKUP(Mapping!$J33,_ACM05,3,FALSE)</f>
        <v>245</v>
      </c>
      <c r="O24" s="135">
        <f>VLOOKUP(Mapping!$J33,_ACM05,4,FALSE)</f>
        <v>105</v>
      </c>
      <c r="P24" s="134">
        <f>VLOOKUP(Mapping!$J33,_ACM05,8,FALSE)</f>
        <v>1.07</v>
      </c>
      <c r="Q24" s="134">
        <v>1.07</v>
      </c>
      <c r="R24" s="135">
        <f>VLOOKUP(Mapping!$J33,_ACM05,6,FALSE)</f>
        <v>60</v>
      </c>
      <c r="S24" s="135">
        <f>VLOOKUP(Mapping!$I33,_ECB_CS,4,FALSE)</f>
        <v>215</v>
      </c>
      <c r="T24" s="134">
        <f>VLOOKUP(Mapping!$H33,_CEUS,2,FALSE)</f>
        <v>2.2831050228310501E-2</v>
      </c>
      <c r="U24" s="134">
        <f>VLOOKUP(Mapping!$H33,_CEUS,3,FALSE)</f>
        <v>6.6210045662100453E-2</v>
      </c>
      <c r="V24" s="11" t="s">
        <v>35</v>
      </c>
      <c r="W24" s="11" t="s">
        <v>38</v>
      </c>
    </row>
    <row r="25" spans="1:23">
      <c r="A25" t="s">
        <v>470</v>
      </c>
      <c r="B25" s="27" t="s">
        <v>80</v>
      </c>
      <c r="C25" s="26">
        <f>VLOOKUP(Mapping!$E34,_90_1_2001,2,FALSE)</f>
        <v>1.4</v>
      </c>
      <c r="D25" s="26">
        <f>VLOOKUP(Mapping!$D34,_90_1_2007,2,FALSE)</f>
        <v>1.1000000000000001</v>
      </c>
      <c r="E25" s="26">
        <f>VLOOKUP(Mapping!$C34,_90_1_2010,2,FALSE)</f>
        <v>0.92</v>
      </c>
      <c r="F25" s="26" t="str">
        <f>VLOOKUP(Mapping!$C34,_90_1_2010,3,FALSE)</f>
        <v>n.a.</v>
      </c>
      <c r="G25" s="134">
        <f>VLOOKUP(Mapping!$J34,_ACM05,5,FALSE)</f>
        <v>1.34</v>
      </c>
      <c r="H25" s="134">
        <f>VLOOKUP(Mapping!G34,_Plugs,13,FALSE)</f>
        <v>0.74760799257268662</v>
      </c>
      <c r="I25" s="134">
        <f>VLOOKUP(Mapping!$G34,_Plugs,14,FALSE)</f>
        <v>2</v>
      </c>
      <c r="J25" s="134">
        <f>VLOOKUP(Mapping!$G34,_Plugs,15,FALSE)</f>
        <v>0.54832713754646845</v>
      </c>
      <c r="K25" s="134">
        <f>VLOOKUP(Mapping!$G34,_Plugs,16,FALSE)</f>
        <v>1</v>
      </c>
      <c r="L25" s="135">
        <f>1000/VLOOKUP(Mapping!$J34,_ACM05,2,FALSE)</f>
        <v>100</v>
      </c>
      <c r="M25" s="135">
        <f>VLOOKUP(Mapping!$I34,_ECB_CS,2,FALSE)</f>
        <v>50</v>
      </c>
      <c r="N25" s="135">
        <f>VLOOKUP(Mapping!$J34,_ACM05,3,FALSE)</f>
        <v>250</v>
      </c>
      <c r="O25" s="135">
        <f>VLOOKUP(Mapping!$J34,_ACM05,4,FALSE)</f>
        <v>206</v>
      </c>
      <c r="P25" s="134">
        <f>VLOOKUP(Mapping!$J34,_ACM05,8,FALSE)</f>
        <v>0.15</v>
      </c>
      <c r="Q25" s="134">
        <v>1.07</v>
      </c>
      <c r="R25" s="135">
        <f>VLOOKUP(Mapping!$J34,_ACM05,6,FALSE)</f>
        <v>106</v>
      </c>
      <c r="S25" s="135">
        <f>VLOOKUP(Mapping!$I34,_ECB_CS,4,FALSE)</f>
        <v>215</v>
      </c>
      <c r="T25" s="134">
        <f>VLOOKUP(Mapping!$H34,_CEUS,2,FALSE)</f>
        <v>0.12557077625570776</v>
      </c>
      <c r="U25" s="134">
        <f>VLOOKUP(Mapping!$H34,_CEUS,3,FALSE)</f>
        <v>5.3652968036529677E-2</v>
      </c>
      <c r="V25" s="11" t="s">
        <v>35</v>
      </c>
      <c r="W25" s="11" t="s">
        <v>38</v>
      </c>
    </row>
    <row r="26" spans="1:23">
      <c r="A26" t="s">
        <v>496</v>
      </c>
      <c r="B26" s="27" t="s">
        <v>49</v>
      </c>
      <c r="C26" s="26">
        <f>VLOOKUP(Mapping!$E12,_90_1_2001,2,FALSE)</f>
        <v>1.4</v>
      </c>
      <c r="D26" s="26">
        <f>VLOOKUP(Mapping!$D12,_90_1_2007,2,FALSE)</f>
        <v>1</v>
      </c>
      <c r="E26" s="26">
        <f>VLOOKUP(Mapping!$C12,_90_1_2010,2,FALSE)</f>
        <v>0.88</v>
      </c>
      <c r="F26" s="26" t="str">
        <f>VLOOKUP(Mapping!$C12,_90_1_2010,3,FALSE)</f>
        <v>n.a.</v>
      </c>
      <c r="G26" s="134">
        <f>VLOOKUP(Mapping!$J12,_ACM05,5,FALSE)</f>
        <v>1</v>
      </c>
      <c r="H26" s="134">
        <f>VLOOKUP(Mapping!G12,_Plugs,13,FALSE)</f>
        <v>0.67424666522690402</v>
      </c>
      <c r="I26" s="134">
        <f>VLOOKUP(Mapping!$G12,_Plugs,14,FALSE)</f>
        <v>2</v>
      </c>
      <c r="J26" s="134">
        <f>VLOOKUP(Mapping!$G12,_Plugs,15,FALSE)</f>
        <v>0.54832713754646845</v>
      </c>
      <c r="K26" s="134">
        <f>VLOOKUP(Mapping!$G12,_Plugs,16,FALSE)</f>
        <v>1</v>
      </c>
      <c r="L26" s="135">
        <f>1000/VLOOKUP(Mapping!$J12,_ACM05,2,FALSE)</f>
        <v>100</v>
      </c>
      <c r="M26" s="135">
        <f>VLOOKUP(Mapping!$I12,_ECB_CS,2,FALSE)</f>
        <v>200</v>
      </c>
      <c r="N26" s="135">
        <f>VLOOKUP(Mapping!$J12,_ACM05,3,FALSE)</f>
        <v>250</v>
      </c>
      <c r="O26" s="135">
        <f>VLOOKUP(Mapping!$J12,_ACM05,4,FALSE)</f>
        <v>200</v>
      </c>
      <c r="P26" s="134">
        <f>VLOOKUP(Mapping!$J12,_ACM05,8,FALSE)</f>
        <v>0.15</v>
      </c>
      <c r="Q26" s="134">
        <v>0.15</v>
      </c>
      <c r="R26" s="135">
        <f>VLOOKUP(Mapping!$J12,_ACM05,6,FALSE)</f>
        <v>120</v>
      </c>
      <c r="S26" s="135">
        <f>VLOOKUP(Mapping!$I12,_ECB_CS,4,FALSE)</f>
        <v>135</v>
      </c>
      <c r="T26" s="134">
        <f>VLOOKUP(Mapping!$H12,_CEUS,2,FALSE)</f>
        <v>2.2831050228310501E-2</v>
      </c>
      <c r="U26" s="134">
        <f>VLOOKUP(Mapping!$H12,_CEUS,3,FALSE)</f>
        <v>6.6210045662100453E-2</v>
      </c>
      <c r="V26" s="11" t="s">
        <v>35</v>
      </c>
      <c r="W26" s="11" t="s">
        <v>38</v>
      </c>
    </row>
    <row r="27" spans="1:23">
      <c r="A27" t="s">
        <v>496</v>
      </c>
      <c r="B27" s="27" t="s">
        <v>53</v>
      </c>
      <c r="C27" s="26">
        <f>VLOOKUP(Mapping!$E14,_90_1_2001,2,FALSE)</f>
        <v>1.7</v>
      </c>
      <c r="D27" s="26">
        <f>VLOOKUP(Mapping!$D14,_90_1_2007,2,FALSE)</f>
        <v>1.1000000000000001</v>
      </c>
      <c r="E27" s="26">
        <f>VLOOKUP(Mapping!$C14,_90_1_2010,2,FALSE)</f>
        <v>1</v>
      </c>
      <c r="F27" s="26" t="str">
        <f>VLOOKUP(Mapping!$C14,_90_1_2010,3,FALSE)</f>
        <v>n.a.</v>
      </c>
      <c r="G27" s="134">
        <f>VLOOKUP(Mapping!$J14,_ACM05,5,FALSE)</f>
        <v>0.5</v>
      </c>
      <c r="H27" s="134">
        <f>VLOOKUP(Mapping!G14,_Plugs,13,FALSE)</f>
        <v>0.67424666522690402</v>
      </c>
      <c r="I27" s="134">
        <f>VLOOKUP(Mapping!$G14,_Plugs,14,FALSE)</f>
        <v>2</v>
      </c>
      <c r="J27" s="134">
        <f>VLOOKUP(Mapping!$G14,_Plugs,15,FALSE)</f>
        <v>0.54832713754646845</v>
      </c>
      <c r="K27" s="134">
        <f>VLOOKUP(Mapping!$G14,_Plugs,16,FALSE)</f>
        <v>1</v>
      </c>
      <c r="L27" s="135">
        <f>1000/VLOOKUP(Mapping!$J14,_ACM05,2,FALSE)</f>
        <v>50</v>
      </c>
      <c r="M27" s="135">
        <f>VLOOKUP(Mapping!$I14,_ECB_CS,2,FALSE)</f>
        <v>200</v>
      </c>
      <c r="N27" s="135">
        <f>VLOOKUP(Mapping!$J14,_ACM05,3,FALSE)</f>
        <v>255</v>
      </c>
      <c r="O27" s="135">
        <f>VLOOKUP(Mapping!$J14,_ACM05,4,FALSE)</f>
        <v>875</v>
      </c>
      <c r="P27" s="134">
        <f>VLOOKUP(Mapping!$J14,_ACM05,8,FALSE)</f>
        <v>0.15</v>
      </c>
      <c r="Q27" s="134">
        <v>0.15</v>
      </c>
      <c r="R27" s="135">
        <f>VLOOKUP(Mapping!$J14,_ACM05,6,FALSE)</f>
        <v>120</v>
      </c>
      <c r="S27" s="135">
        <f>VLOOKUP(Mapping!$I14,_ECB_CS,4,FALSE)</f>
        <v>135</v>
      </c>
      <c r="T27" s="134">
        <f>VLOOKUP(Mapping!$H14,_CEUS,2,FALSE)</f>
        <v>2.2831050228310501E-2</v>
      </c>
      <c r="U27" s="134">
        <f>VLOOKUP(Mapping!$H14,_CEUS,3,FALSE)</f>
        <v>6.6210045662100453E-2</v>
      </c>
      <c r="V27" s="11" t="s">
        <v>35</v>
      </c>
      <c r="W27" s="11" t="s">
        <v>38</v>
      </c>
    </row>
    <row r="28" spans="1:23">
      <c r="A28" t="s">
        <v>500</v>
      </c>
      <c r="B28" s="27" t="s">
        <v>50</v>
      </c>
      <c r="C28" s="26">
        <f>VLOOKUP(Mapping!$E13,_90_1_2001,2,FALSE)</f>
        <v>1.3</v>
      </c>
      <c r="D28" s="26">
        <f>VLOOKUP(Mapping!$D13,_90_1_2007,2,FALSE)</f>
        <v>1</v>
      </c>
      <c r="E28" s="26">
        <f>VLOOKUP(Mapping!$C13,_90_1_2010,2,FALSE)</f>
        <v>0.71</v>
      </c>
      <c r="F28" s="26" t="str">
        <f>VLOOKUP(Mapping!$C13,_90_1_2010,3,FALSE)</f>
        <v>n.a.</v>
      </c>
      <c r="G28" s="134">
        <f>VLOOKUP(Mapping!$J13,_ACM05,5,FALSE)</f>
        <v>1.5</v>
      </c>
      <c r="H28" s="134">
        <f>VLOOKUP(Mapping!G13,_Plugs,13,FALSE)</f>
        <v>1.5403580152290588</v>
      </c>
      <c r="I28" s="134">
        <f>VLOOKUP(Mapping!$G13,_Plugs,14,FALSE)</f>
        <v>2</v>
      </c>
      <c r="J28" s="134">
        <f>VLOOKUP(Mapping!$G13,_Plugs,15,FALSE)</f>
        <v>1.1152416356877324</v>
      </c>
      <c r="K28" s="134">
        <f>VLOOKUP(Mapping!$G13,_Plugs,16,FALSE)</f>
        <v>1</v>
      </c>
      <c r="L28" s="135">
        <f>1000/VLOOKUP(Mapping!$J13,_ACM05,2,FALSE)</f>
        <v>100</v>
      </c>
      <c r="M28" s="135">
        <f>VLOOKUP(Mapping!$I13,_ECB_CS,2,FALSE)</f>
        <v>250</v>
      </c>
      <c r="N28" s="135">
        <f>VLOOKUP(Mapping!$J13,_ACM05,3,FALSE)</f>
        <v>250</v>
      </c>
      <c r="O28" s="135">
        <f>VLOOKUP(Mapping!$J13,_ACM05,4,FALSE)</f>
        <v>200</v>
      </c>
      <c r="P28" s="134">
        <f>VLOOKUP(Mapping!$J13,_ACM05,8,FALSE)</f>
        <v>0.15</v>
      </c>
      <c r="Q28" s="134">
        <v>0.15</v>
      </c>
      <c r="R28" s="135">
        <f>VLOOKUP(Mapping!$J13,_ACM05,6,FALSE)</f>
        <v>120</v>
      </c>
      <c r="S28" s="135">
        <f>VLOOKUP(Mapping!$I13,_ECB_CS,4,FALSE)</f>
        <v>300</v>
      </c>
      <c r="T28" s="134">
        <f>VLOOKUP(Mapping!$H13,_CEUS,2,FALSE)</f>
        <v>0.75342465753424659</v>
      </c>
      <c r="U28" s="134">
        <f>VLOOKUP(Mapping!$H13,_CEUS,3,FALSE)</f>
        <v>9.8173515981735154E-2</v>
      </c>
      <c r="V28" s="32" t="s">
        <v>51</v>
      </c>
      <c r="W28" s="11" t="s">
        <v>52</v>
      </c>
    </row>
    <row r="29" spans="1:23">
      <c r="A29" t="s">
        <v>500</v>
      </c>
      <c r="B29" s="27" t="s">
        <v>72</v>
      </c>
      <c r="C29" s="26">
        <f>VLOOKUP(Mapping!$E28,_90_1_2001,2,FALSE)</f>
        <v>1.3</v>
      </c>
      <c r="D29" s="26">
        <f>VLOOKUP(Mapping!$D28,_90_1_2007,2,FALSE)</f>
        <v>1</v>
      </c>
      <c r="E29" s="26">
        <f>VLOOKUP(Mapping!$C28,_90_1_2010,2,FALSE)</f>
        <v>0.96</v>
      </c>
      <c r="F29" s="26" t="str">
        <f>VLOOKUP(Mapping!$C28,_90_1_2010,3,FALSE)</f>
        <v>n.a.</v>
      </c>
      <c r="G29" s="134">
        <f>VLOOKUP(Mapping!$J28,_ACM05,5,FALSE)</f>
        <v>1.5</v>
      </c>
      <c r="H29" s="134">
        <f>VLOOKUP(Mapping!G28,_Plugs,13,FALSE)</f>
        <v>1.5403580152290588</v>
      </c>
      <c r="I29" s="134">
        <f>VLOOKUP(Mapping!$G28,_Plugs,14,FALSE)</f>
        <v>2</v>
      </c>
      <c r="J29" s="134">
        <f>VLOOKUP(Mapping!$G28,_Plugs,15,FALSE)</f>
        <v>1.1152416356877324</v>
      </c>
      <c r="K29" s="134">
        <f>VLOOKUP(Mapping!$G28,_Plugs,16,FALSE)</f>
        <v>1</v>
      </c>
      <c r="L29" s="135">
        <f>1000/VLOOKUP(Mapping!$J28,_ACM05,2,FALSE)</f>
        <v>100</v>
      </c>
      <c r="M29" s="135">
        <f>VLOOKUP(Mapping!$I28,_ECB_CS,2,FALSE)</f>
        <v>250</v>
      </c>
      <c r="N29" s="135">
        <f>VLOOKUP(Mapping!$J28,_ACM05,3,FALSE)</f>
        <v>250</v>
      </c>
      <c r="O29" s="135">
        <f>VLOOKUP(Mapping!$J28,_ACM05,4,FALSE)</f>
        <v>200</v>
      </c>
      <c r="P29" s="134">
        <f>VLOOKUP(Mapping!$J28,_ACM05,8,FALSE)</f>
        <v>0.15</v>
      </c>
      <c r="Q29" s="134">
        <v>0.15</v>
      </c>
      <c r="R29" s="135">
        <f>VLOOKUP(Mapping!$J28,_ACM05,6,FALSE)</f>
        <v>120</v>
      </c>
      <c r="S29" s="135">
        <f>VLOOKUP(Mapping!$I28,_ECB_CS,4,FALSE)</f>
        <v>300</v>
      </c>
      <c r="T29" s="134">
        <f>VLOOKUP(Mapping!$H28,_CEUS,2,FALSE)</f>
        <v>0.75342465753424659</v>
      </c>
      <c r="U29" s="134">
        <f>VLOOKUP(Mapping!$H28,_CEUS,3,FALSE)</f>
        <v>9.8173515981735154E-2</v>
      </c>
      <c r="V29" s="11" t="s">
        <v>35</v>
      </c>
      <c r="W29" s="11" t="s">
        <v>52</v>
      </c>
    </row>
    <row r="30" spans="1:23">
      <c r="A30" t="s">
        <v>540</v>
      </c>
      <c r="B30" s="27" t="s">
        <v>70</v>
      </c>
      <c r="C30" s="26">
        <f>VLOOKUP(Mapping!$E26,_90_1_2001,2,FALSE)</f>
        <v>1.2</v>
      </c>
      <c r="D30" s="26">
        <f>VLOOKUP(Mapping!$D26,_90_1_2007,2,FALSE)</f>
        <v>1</v>
      </c>
      <c r="E30" s="26">
        <f>VLOOKUP(Mapping!$C26,_90_1_2010,2,FALSE)</f>
        <v>0.97</v>
      </c>
      <c r="F30" s="26" t="str">
        <f>VLOOKUP(Mapping!$C26,_90_1_2010,3,FALSE)</f>
        <v>n.a.</v>
      </c>
      <c r="G30" s="134">
        <f>VLOOKUP(Mapping!$J26,_ACM05,5,FALSE)</f>
        <v>0.5</v>
      </c>
      <c r="H30" s="134">
        <f>VLOOKUP(Mapping!G26,_Plugs,13,FALSE)</f>
        <v>1.4928322661656475</v>
      </c>
      <c r="I30" s="134">
        <f>VLOOKUP(Mapping!$G26,_Plugs,14,FALSE)</f>
        <v>2</v>
      </c>
      <c r="J30" s="134">
        <f>VLOOKUP(Mapping!$G26,_Plugs,15,FALSE)</f>
        <v>1.1152416356877324</v>
      </c>
      <c r="K30" s="134">
        <f>VLOOKUP(Mapping!$G26,_Plugs,16,FALSE)</f>
        <v>1</v>
      </c>
      <c r="L30" s="135">
        <f>1000/VLOOKUP(Mapping!$J26,_ACM05,2,FALSE)</f>
        <v>200</v>
      </c>
      <c r="M30" s="135">
        <f>VLOOKUP(Mapping!$I26,_ECB_CS,2,FALSE)</f>
        <v>250</v>
      </c>
      <c r="N30" s="135">
        <f>VLOOKUP(Mapping!$J26,_ACM05,3,FALSE)</f>
        <v>245</v>
      </c>
      <c r="O30" s="135">
        <f>VLOOKUP(Mapping!$J26,_ACM05,4,FALSE)</f>
        <v>155</v>
      </c>
      <c r="P30" s="134">
        <f>VLOOKUP(Mapping!$J26,_ACM05,8,FALSE)</f>
        <v>0.15</v>
      </c>
      <c r="Q30" s="134">
        <v>0.15</v>
      </c>
      <c r="R30" s="135">
        <f>VLOOKUP(Mapping!$J26,_ACM05,6,FALSE)</f>
        <v>2800</v>
      </c>
      <c r="S30" s="135">
        <f>VLOOKUP(Mapping!$I26,_ECB_CS,4,FALSE)</f>
        <v>1700</v>
      </c>
      <c r="T30" s="134">
        <f>VLOOKUP(Mapping!$H26,_CEUS,2,FALSE)</f>
        <v>0.69634703196347048</v>
      </c>
      <c r="U30" s="134">
        <f>VLOOKUP(Mapping!$H26,_CEUS,3,FALSE)</f>
        <v>0.10273972602739725</v>
      </c>
      <c r="V30" s="11" t="s">
        <v>47</v>
      </c>
      <c r="W30" s="11" t="s">
        <v>38</v>
      </c>
    </row>
    <row r="31" spans="1:23">
      <c r="A31" t="s">
        <v>548</v>
      </c>
      <c r="B31" s="27" t="s">
        <v>74</v>
      </c>
      <c r="C31" s="26">
        <f>VLOOKUP(Mapping!$E30,_90_1_2001,2,FALSE)</f>
        <v>2.2000000000000002</v>
      </c>
      <c r="D31" s="26">
        <f>VLOOKUP(Mapping!$D30,_90_1_2007,2,FALSE)</f>
        <v>1.3</v>
      </c>
      <c r="E31" s="26">
        <f>VLOOKUP(Mapping!$C30,_90_1_2010,2,FALSE)</f>
        <v>1.05</v>
      </c>
      <c r="F31" s="26" t="str">
        <f>VLOOKUP(Mapping!$C30,_90_1_2010,3,FALSE)</f>
        <v>n.a.</v>
      </c>
      <c r="G31" s="134">
        <f>VLOOKUP(Mapping!$J30,_ACM05,5,FALSE)</f>
        <v>0.96</v>
      </c>
      <c r="H31" s="134">
        <f>VLOOKUP(Mapping!G30,_Plugs,13,FALSE)</f>
        <v>0.29844543263937018</v>
      </c>
      <c r="I31" s="134">
        <f>VLOOKUP(Mapping!$G30,_Plugs,14,FALSE)</f>
        <v>2</v>
      </c>
      <c r="J31" s="134">
        <f>VLOOKUP(Mapping!$G30,_Plugs,15,FALSE)</f>
        <v>0.54832713754646845</v>
      </c>
      <c r="K31" s="134">
        <f>VLOOKUP(Mapping!$G30,_Plugs,16,FALSE)</f>
        <v>0.4</v>
      </c>
      <c r="L31" s="135">
        <f>1000/VLOOKUP(Mapping!$J30,_ACM05,2,FALSE)</f>
        <v>7.3529411764705879</v>
      </c>
      <c r="M31" s="135">
        <f>VLOOKUP(Mapping!$I30,_ECB_CS,2,FALSE)</f>
        <v>50</v>
      </c>
      <c r="N31" s="135">
        <f>VLOOKUP(Mapping!$J30,_ACM05,3,FALSE)</f>
        <v>245</v>
      </c>
      <c r="O31" s="135">
        <f>VLOOKUP(Mapping!$J30,_ACM05,4,FALSE)</f>
        <v>112</v>
      </c>
      <c r="P31" s="134">
        <f>VLOOKUP(Mapping!$J30,_ACM05,8,FALSE)</f>
        <v>1.03</v>
      </c>
      <c r="Q31" s="134">
        <v>1.03</v>
      </c>
      <c r="R31" s="135">
        <f>VLOOKUP(Mapping!$J30,_ACM05,6,FALSE)</f>
        <v>57</v>
      </c>
      <c r="S31" s="135">
        <f>VLOOKUP(Mapping!$I30,_ECB_CS,4,FALSE)</f>
        <v>215</v>
      </c>
      <c r="T31" s="134">
        <f>VLOOKUP(Mapping!$H30,_CEUS,2,FALSE)</f>
        <v>2.2831050228310501E-2</v>
      </c>
      <c r="U31" s="134">
        <f>VLOOKUP(Mapping!$H30,_CEUS,3,FALSE)</f>
        <v>6.6210045662100453E-2</v>
      </c>
      <c r="V31" s="11" t="s">
        <v>35</v>
      </c>
      <c r="W31" s="11" t="s">
        <v>38</v>
      </c>
    </row>
    <row r="32" spans="1:23">
      <c r="A32" t="s">
        <v>550</v>
      </c>
      <c r="B32" s="27" t="s">
        <v>75</v>
      </c>
      <c r="C32" s="26">
        <f>VLOOKUP(Mapping!$E31,_90_1_2001,2,FALSE)</f>
        <v>1.9</v>
      </c>
      <c r="D32" s="26">
        <f>VLOOKUP(Mapping!$D31,_90_1_2007,2,FALSE)</f>
        <v>1.5</v>
      </c>
      <c r="E32" s="26">
        <f>VLOOKUP(Mapping!$C31,_90_1_2010,2,FALSE)</f>
        <v>1.4</v>
      </c>
      <c r="F32" s="26" t="str">
        <f>VLOOKUP(Mapping!$C31,_90_1_2010,3,FALSE)</f>
        <v>n.a.</v>
      </c>
      <c r="G32" s="134">
        <f>VLOOKUP(Mapping!$J31,_ACM05,5,FALSE)</f>
        <v>1</v>
      </c>
      <c r="H32" s="134">
        <f>VLOOKUP(Mapping!G31,_Plugs,13,FALSE)</f>
        <v>0.70234930798269923</v>
      </c>
      <c r="I32" s="134">
        <f>VLOOKUP(Mapping!$G31,_Plugs,14,FALSE)</f>
        <v>2</v>
      </c>
      <c r="J32" s="134">
        <f>VLOOKUP(Mapping!$G31,_Plugs,15,FALSE)</f>
        <v>0.34386617100371747</v>
      </c>
      <c r="K32" s="134">
        <f>VLOOKUP(Mapping!$G31,_Plugs,16,FALSE)</f>
        <v>1</v>
      </c>
      <c r="L32" s="135">
        <f>1000/VLOOKUP(Mapping!$J31,_ACM05,2,FALSE)</f>
        <v>30.303030303030305</v>
      </c>
      <c r="M32" s="135">
        <f>VLOOKUP(Mapping!$I31,_ECB_CS,2,FALSE)</f>
        <v>300</v>
      </c>
      <c r="N32" s="135">
        <f>VLOOKUP(Mapping!$J31,_ACM05,3,FALSE)</f>
        <v>250</v>
      </c>
      <c r="O32" s="135">
        <f>VLOOKUP(Mapping!$J31,_ACM05,4,FALSE)</f>
        <v>200</v>
      </c>
      <c r="P32" s="134">
        <f>VLOOKUP(Mapping!$J31,_ACM05,8,FALSE)</f>
        <v>0.25</v>
      </c>
      <c r="Q32" s="134" t="s">
        <v>45</v>
      </c>
      <c r="R32" s="135">
        <f>VLOOKUP(Mapping!$J31,_ACM05,6,FALSE)</f>
        <v>120</v>
      </c>
      <c r="S32" s="135">
        <f>VLOOKUP(Mapping!$I31,_ECB_CS,4,FALSE)</f>
        <v>135</v>
      </c>
      <c r="T32" s="134">
        <f>VLOOKUP(Mapping!$H31,_CEUS,2,FALSE)</f>
        <v>9.1324200913242004E-2</v>
      </c>
      <c r="U32" s="134">
        <f>VLOOKUP(Mapping!$H31,_CEUS,3,FALSE)</f>
        <v>0.11757990867579908</v>
      </c>
      <c r="V32" s="11" t="s">
        <v>68</v>
      </c>
      <c r="W32" s="11" t="s">
        <v>76</v>
      </c>
    </row>
    <row r="33" spans="1:24">
      <c r="A33" t="s">
        <v>559</v>
      </c>
      <c r="B33" s="27" t="s">
        <v>81</v>
      </c>
      <c r="C33" s="26">
        <f>VLOOKUP(Mapping!$E35,_90_1_2001,2,FALSE)</f>
        <v>1.2</v>
      </c>
      <c r="D33" s="26">
        <f>VLOOKUP(Mapping!$D35,_90_1_2007,2,FALSE)</f>
        <v>1</v>
      </c>
      <c r="E33" s="26">
        <f>VLOOKUP(Mapping!$C35,_90_1_2010,2,FALSE)</f>
        <v>0.77</v>
      </c>
      <c r="F33" s="26" t="str">
        <f>VLOOKUP(Mapping!$C35,_90_1_2010,3,FALSE)</f>
        <v>n.a.</v>
      </c>
      <c r="G33" s="134">
        <f>VLOOKUP(Mapping!$J35,_ACM05,5,FALSE)</f>
        <v>0.5</v>
      </c>
      <c r="H33" s="134">
        <f>VLOOKUP(Mapping!G35,_Plugs,13,FALSE)</f>
        <v>0.51912260356910667</v>
      </c>
      <c r="I33" s="134">
        <f>VLOOKUP(Mapping!$G35,_Plugs,14,FALSE)</f>
        <v>2</v>
      </c>
      <c r="J33" s="134">
        <f>VLOOKUP(Mapping!$G35,_Plugs,15,FALSE)</f>
        <v>0.54832713754646845</v>
      </c>
      <c r="K33" s="134">
        <f>VLOOKUP(Mapping!$G35,_Plugs,16,FALSE)</f>
        <v>1</v>
      </c>
      <c r="L33" s="135">
        <f>1000/VLOOKUP(Mapping!$J35,_ACM05,2,FALSE)</f>
        <v>30.303030303030305</v>
      </c>
      <c r="M33" s="135">
        <f>VLOOKUP(Mapping!$I35,_ECB_CS,2,FALSE)</f>
        <v>200</v>
      </c>
      <c r="N33" s="135">
        <f>VLOOKUP(Mapping!$J35,_ACM05,3,FALSE)</f>
        <v>250</v>
      </c>
      <c r="O33" s="135">
        <f>VLOOKUP(Mapping!$J35,_ACM05,4,FALSE)</f>
        <v>250</v>
      </c>
      <c r="P33" s="134">
        <f>VLOOKUP(Mapping!$J35,_ACM05,8,FALSE)</f>
        <v>0.25</v>
      </c>
      <c r="Q33" s="134">
        <v>0.15</v>
      </c>
      <c r="R33" s="135">
        <f>VLOOKUP(Mapping!$J35,_ACM05,6,FALSE)</f>
        <v>120</v>
      </c>
      <c r="S33" s="135">
        <f>VLOOKUP(Mapping!$I35,_ECB_CS,4,FALSE)</f>
        <v>215</v>
      </c>
      <c r="T33" s="134">
        <f>VLOOKUP(Mapping!$H35,_CEUS,2,FALSE)</f>
        <v>2.2831050228310501E-2</v>
      </c>
      <c r="U33" s="134">
        <f>VLOOKUP(Mapping!$H35,_CEUS,3,FALSE)</f>
        <v>6.6210045662100453E-2</v>
      </c>
      <c r="V33" s="11" t="s">
        <v>35</v>
      </c>
      <c r="W33" s="11" t="s">
        <v>38</v>
      </c>
    </row>
    <row r="34" spans="1:24">
      <c r="A34" t="s">
        <v>545</v>
      </c>
      <c r="B34" s="27" t="s">
        <v>73</v>
      </c>
      <c r="C34" s="26">
        <f>VLOOKUP(Mapping!$E29,_90_1_2001,2,FALSE)</f>
        <v>1.6</v>
      </c>
      <c r="D34" s="26">
        <f>VLOOKUP(Mapping!$D29,_90_1_2007,2,FALSE)</f>
        <v>1.1000000000000001</v>
      </c>
      <c r="E34" s="26">
        <f>VLOOKUP(Mapping!$C29,_90_1_2010,2,FALSE)</f>
        <v>0.87</v>
      </c>
      <c r="F34" s="26" t="str">
        <f>VLOOKUP(Mapping!$C29,_90_1_2010,3,FALSE)</f>
        <v>n.a.</v>
      </c>
      <c r="G34" s="134">
        <f>VLOOKUP(Mapping!$J29,_ACM05,5,FALSE)</f>
        <v>1</v>
      </c>
      <c r="H34" s="134">
        <f>VLOOKUP(Mapping!G29,_Plugs,13,FALSE)</f>
        <v>0.90907201553445571</v>
      </c>
      <c r="I34" s="134">
        <f>VLOOKUP(Mapping!$G29,_Plugs,14,FALSE)</f>
        <v>2</v>
      </c>
      <c r="J34" s="134">
        <f>VLOOKUP(Mapping!$G29,_Plugs,15,FALSE)</f>
        <v>0.54832713754646845</v>
      </c>
      <c r="K34" s="134">
        <f>VLOOKUP(Mapping!$G29,_Plugs,16,FALSE)</f>
        <v>1</v>
      </c>
      <c r="L34" s="135">
        <f>1000/VLOOKUP(Mapping!$J29,_ACM05,2,FALSE)</f>
        <v>100</v>
      </c>
      <c r="M34" s="135">
        <f>VLOOKUP(Mapping!$I29,_ECB_CS,2,FALSE)</f>
        <v>250</v>
      </c>
      <c r="N34" s="135">
        <f>VLOOKUP(Mapping!$J29,_ACM05,3,FALSE)</f>
        <v>275</v>
      </c>
      <c r="O34" s="135">
        <f>VLOOKUP(Mapping!$J29,_ACM05,4,FALSE)</f>
        <v>475</v>
      </c>
      <c r="P34" s="134">
        <f>VLOOKUP(Mapping!$J29,_ACM05,8,FALSE)</f>
        <v>0.15</v>
      </c>
      <c r="Q34" s="134">
        <v>0.15</v>
      </c>
      <c r="R34" s="135">
        <f>VLOOKUP(Mapping!$J29,_ACM05,6,FALSE)</f>
        <v>120</v>
      </c>
      <c r="S34" s="135">
        <f>VLOOKUP(Mapping!$I29,_ECB_CS,4,FALSE)</f>
        <v>300</v>
      </c>
      <c r="T34" s="134">
        <f>VLOOKUP(Mapping!$H29,_CEUS,2,FALSE)</f>
        <v>0.75342465753424659</v>
      </c>
      <c r="U34" s="134">
        <f>VLOOKUP(Mapping!$H29,_CEUS,3,FALSE)</f>
        <v>9.8173515981735154E-2</v>
      </c>
      <c r="V34" s="11" t="s">
        <v>35</v>
      </c>
      <c r="W34" s="11" t="s">
        <v>52</v>
      </c>
    </row>
    <row r="35" spans="1:24">
      <c r="A35" t="s">
        <v>565</v>
      </c>
      <c r="B35" s="27" t="s">
        <v>84</v>
      </c>
      <c r="C35" s="26">
        <f>VLOOKUP(Mapping!$E37,_90_1_2001,2,FALSE)</f>
        <v>1.7</v>
      </c>
      <c r="D35" s="26">
        <f>VLOOKUP(Mapping!$D37,_90_1_2007,2,FALSE)</f>
        <v>1.4</v>
      </c>
      <c r="E35" s="26">
        <f>VLOOKUP(Mapping!$C37,_90_1_2010,2,FALSE)</f>
        <v>1.2</v>
      </c>
      <c r="F35" s="26" t="str">
        <f>VLOOKUP(Mapping!$C37,_90_1_2010,3,FALSE)</f>
        <v>n.a.</v>
      </c>
      <c r="G35" s="134">
        <f>VLOOKUP(Mapping!$J37,_ACM05,5,FALSE)</f>
        <v>1</v>
      </c>
      <c r="H35" s="134">
        <f>VLOOKUP(Mapping!G37,_Plugs,13,FALSE)</f>
        <v>0.42833678057910263</v>
      </c>
      <c r="I35" s="134">
        <f>VLOOKUP(Mapping!$G37,_Plugs,14,FALSE)</f>
        <v>2</v>
      </c>
      <c r="J35" s="134">
        <f>VLOOKUP(Mapping!$G37,_Plugs,15,FALSE)</f>
        <v>0.54832713754646845</v>
      </c>
      <c r="K35" s="134">
        <f>VLOOKUP(Mapping!$G37,_Plugs,16,FALSE)</f>
        <v>1</v>
      </c>
      <c r="L35" s="135">
        <f>1000/VLOOKUP(Mapping!$J37,_ACM05,2,FALSE)</f>
        <v>142.85714285714286</v>
      </c>
      <c r="M35" s="135">
        <f>VLOOKUP(Mapping!$I37,_ECB_CS,2,FALSE)</f>
        <v>750</v>
      </c>
      <c r="N35" s="135">
        <f>VLOOKUP(Mapping!$J37,_ACM05,3,FALSE)</f>
        <v>375</v>
      </c>
      <c r="O35" s="135">
        <f>VLOOKUP(Mapping!$J37,_ACM05,4,FALSE)</f>
        <v>625</v>
      </c>
      <c r="P35" s="134">
        <f>VLOOKUP(Mapping!$J37,_ACM05,8,FALSE)</f>
        <v>0.15</v>
      </c>
      <c r="Q35" s="134">
        <v>0.15</v>
      </c>
      <c r="R35" s="135">
        <f>VLOOKUP(Mapping!$J37,_ACM05,6,FALSE)</f>
        <v>120</v>
      </c>
      <c r="S35" s="135">
        <f>VLOOKUP(Mapping!$I37,_ECB_CS,4,FALSE)</f>
        <v>225</v>
      </c>
      <c r="T35" s="134">
        <f>VLOOKUP(Mapping!$H37,_CEUS,2,FALSE)</f>
        <v>0.75342465753424659</v>
      </c>
      <c r="U35" s="134">
        <f>VLOOKUP(Mapping!$H37,_CEUS,3,FALSE)</f>
        <v>9.8173515981735154E-2</v>
      </c>
      <c r="V35" s="11" t="s">
        <v>35</v>
      </c>
      <c r="W35" s="11" t="s">
        <v>36</v>
      </c>
    </row>
    <row r="36" spans="1:24">
      <c r="A36" t="s">
        <v>465</v>
      </c>
      <c r="B36" s="27" t="s">
        <v>33</v>
      </c>
      <c r="C36" s="26">
        <f>VLOOKUP(Mapping!$E5,_90_1_2001,2,FALSE)</f>
        <v>1.5</v>
      </c>
      <c r="D36" s="26">
        <f>VLOOKUP(Mapping!$D5,_90_1_2007,2,FALSE)</f>
        <v>0.9</v>
      </c>
      <c r="E36" s="26">
        <f>VLOOKUP(Mapping!$C5,_90_1_2010,2,FALSE)</f>
        <v>0.82</v>
      </c>
      <c r="F36" s="26" t="str">
        <f>VLOOKUP(Mapping!$C5,_90_1_2010,3,FALSE)</f>
        <v>n.a.</v>
      </c>
      <c r="G36" s="134">
        <f>VLOOKUP(Mapping!$J5,_ACM05,5,FALSE)</f>
        <v>1</v>
      </c>
      <c r="H36" s="134">
        <f>VLOOKUP(Mapping!$G5,_Plugs,13,FALSE)</f>
        <v>0.50325197968776458</v>
      </c>
      <c r="I36" s="134">
        <f>VLOOKUP(Mapping!$G5,_Plugs,14,FALSE)</f>
        <v>2</v>
      </c>
      <c r="J36" s="134">
        <f>VLOOKUP(Mapping!$G5,_Plugs,15,FALSE)</f>
        <v>0.54832713754646845</v>
      </c>
      <c r="K36" s="134">
        <f>VLOOKUP(Mapping!$G5,_Plugs,16,FALSE)</f>
        <v>1</v>
      </c>
      <c r="L36" s="135">
        <f>1000/VLOOKUP(Mapping!$J5,_ACM05,2,FALSE)</f>
        <v>100</v>
      </c>
      <c r="M36" s="135">
        <f>VLOOKUP(Mapping!$I5,_ECB_CS,2,FALSE)</f>
        <v>200</v>
      </c>
      <c r="N36" s="135">
        <f>VLOOKUP(Mapping!$J5,_ACM05,3,FALSE)</f>
        <v>275</v>
      </c>
      <c r="O36" s="135">
        <f>VLOOKUP(Mapping!$J5,_ACM05,4,FALSE)</f>
        <v>475</v>
      </c>
      <c r="P36" s="134">
        <f>VLOOKUP(Mapping!$J5,_ACM05,8,FALSE)</f>
        <v>1.5</v>
      </c>
      <c r="Q36" s="134">
        <f>VLOOKUP(Mapping!$I5,_ECB_CS,5,FALSE)</f>
        <v>1.5</v>
      </c>
      <c r="R36" s="135">
        <f>VLOOKUP(Mapping!$J5,_ACM05,6,FALSE)</f>
        <v>120</v>
      </c>
      <c r="S36" s="135">
        <f>VLOOKUP(Mapping!$I5,_ECB_CS,4,FALSE)</f>
        <v>300</v>
      </c>
      <c r="T36" s="134">
        <f>VLOOKUP(Mapping!$H5,_CEUS,2,FALSE)</f>
        <v>0.75342465753424659</v>
      </c>
      <c r="U36" s="134">
        <f>VLOOKUP(Mapping!$H5,_CEUS,3,FALSE)</f>
        <v>9.8173515981735154E-2</v>
      </c>
      <c r="V36" s="11" t="s">
        <v>35</v>
      </c>
      <c r="W36" s="11" t="s">
        <v>36</v>
      </c>
    </row>
    <row r="37" spans="1:24">
      <c r="A37" s="73" t="s">
        <v>1252</v>
      </c>
      <c r="B37" s="27" t="s">
        <v>67</v>
      </c>
      <c r="C37" s="26">
        <f>VLOOKUP(Mapping!$E25,_90_1_2001,2,FALSE)</f>
        <v>0.3</v>
      </c>
      <c r="D37" s="26">
        <f>VLOOKUP(Mapping!$D25,_90_1_2007,2,FALSE)</f>
        <v>0.3</v>
      </c>
      <c r="E37" s="26">
        <f>VLOOKUP(Mapping!$C25,_90_1_2010,2,FALSE)</f>
        <v>0.25</v>
      </c>
      <c r="F37" s="26" t="str">
        <f>VLOOKUP(Mapping!$C25,_90_1_2010,3,FALSE)</f>
        <v>n.a.</v>
      </c>
      <c r="G37" s="134">
        <f>VLOOKUP(Mapping!$J25,_ACM05,5,FALSE)</f>
        <v>1</v>
      </c>
      <c r="H37" s="134" t="str">
        <f>VLOOKUP(Mapping!G25,_Plugs,13,FALSE)</f>
        <v>n.a.</v>
      </c>
      <c r="I37" s="134" t="str">
        <f>VLOOKUP(Mapping!$G25,_Plugs,14,FALSE)</f>
        <v>n.a.</v>
      </c>
      <c r="J37" s="134" t="str">
        <f>VLOOKUP(Mapping!$G25,_Plugs,15,FALSE)</f>
        <v>n.a.</v>
      </c>
      <c r="K37" s="134" t="str">
        <f>VLOOKUP(Mapping!$G25,_Plugs,16,FALSE)</f>
        <v>n.a.</v>
      </c>
      <c r="L37" s="135">
        <f>1000/VLOOKUP(Mapping!$J25,_ACM05,2,FALSE)</f>
        <v>100</v>
      </c>
      <c r="M37" s="135" t="str">
        <f>VLOOKUP(Mapping!$I25,_ECB_CS,2,FALSE)</f>
        <v>Uncond.</v>
      </c>
      <c r="N37" s="135">
        <f>VLOOKUP(Mapping!$J25,_ACM05,3,FALSE)</f>
        <v>250</v>
      </c>
      <c r="O37" s="135">
        <f>VLOOKUP(Mapping!$J25,_ACM05,4,FALSE)</f>
        <v>200</v>
      </c>
      <c r="P37" s="134">
        <f>VLOOKUP(Mapping!$J25,_ACM05,8,FALSE)</f>
        <v>0.15</v>
      </c>
      <c r="Q37" s="134">
        <v>0.15</v>
      </c>
      <c r="R37" s="135">
        <f>VLOOKUP(Mapping!$J25,_ACM05,6,FALSE)</f>
        <v>120</v>
      </c>
      <c r="S37" s="135">
        <f>VLOOKUP(Mapping!$I25,_ECB_CS,4,FALSE)</f>
        <v>0</v>
      </c>
      <c r="T37" s="134">
        <f>VLOOKUP(Mapping!$H25,_CEUS,2,FALSE)</f>
        <v>0</v>
      </c>
      <c r="U37" s="134">
        <f>VLOOKUP(Mapping!$H25,_CEUS,3,FALSE)</f>
        <v>3.1963470319634701E-2</v>
      </c>
      <c r="V37" s="11" t="s">
        <v>68</v>
      </c>
      <c r="W37" s="11" t="s">
        <v>69</v>
      </c>
    </row>
    <row r="38" spans="1:24" s="20" customFormat="1">
      <c r="A38" s="21" t="s">
        <v>1589</v>
      </c>
      <c r="B38" s="17" t="s">
        <v>85</v>
      </c>
      <c r="C38" s="18"/>
      <c r="D38" s="18"/>
      <c r="E38" s="18"/>
      <c r="F38" s="18"/>
      <c r="G38" s="18"/>
      <c r="H38" s="18"/>
      <c r="I38" s="18"/>
      <c r="J38" s="18"/>
      <c r="K38" s="18"/>
      <c r="L38" s="19"/>
      <c r="M38" s="19"/>
      <c r="N38" s="19"/>
      <c r="O38" s="19"/>
      <c r="P38" s="18"/>
      <c r="Q38" s="18"/>
      <c r="R38" s="19"/>
      <c r="S38" s="18"/>
      <c r="T38" s="18"/>
      <c r="U38" s="18"/>
      <c r="X38" s="28"/>
    </row>
    <row r="39" spans="1:24">
      <c r="A39" s="34" t="s">
        <v>619</v>
      </c>
      <c r="B39" s="27" t="s">
        <v>95</v>
      </c>
      <c r="C39" s="26">
        <f>VLOOKUP(Mapping!$E53,_90_1_2001,2,FALSE)</f>
        <v>1.6</v>
      </c>
      <c r="D39" s="26">
        <f>VLOOKUP(Mapping!$D53,_90_1_2007,2,FALSE)</f>
        <v>1.4</v>
      </c>
      <c r="E39" s="26">
        <f>VLOOKUP(Mapping!$C53,_90_1_2010,2,FALSE)</f>
        <v>1.24</v>
      </c>
      <c r="F39" s="26">
        <f>VLOOKUP(Mapping!$C53,_90_1_2010,3,FALSE)</f>
        <v>4</v>
      </c>
      <c r="G39" s="134">
        <v>1</v>
      </c>
      <c r="H39" s="134">
        <f>VLOOKUP(Mapping!G53,_Plugs,13,FALSE)</f>
        <v>0.58912884055837</v>
      </c>
      <c r="I39" s="134">
        <f>VLOOKUP(Mapping!$G53,_Plugs,14,FALSE)</f>
        <v>2</v>
      </c>
      <c r="J39" s="134">
        <f>VLOOKUP(Mapping!$G53,_Plugs,15,FALSE)</f>
        <v>0.18587360594795541</v>
      </c>
      <c r="K39" s="134">
        <f>VLOOKUP(Mapping!$G53,_Plugs,16,FALSE)</f>
        <v>1</v>
      </c>
      <c r="L39" s="135">
        <v>20</v>
      </c>
      <c r="M39" s="135">
        <v>20</v>
      </c>
      <c r="N39" s="135">
        <v>245</v>
      </c>
      <c r="O39" s="135">
        <v>155</v>
      </c>
      <c r="P39" s="134">
        <v>0.38</v>
      </c>
      <c r="Q39" s="134">
        <v>0.38</v>
      </c>
      <c r="R39" s="135">
        <f>VLOOKUP(Mapping!$J53,_ACM05,6,FALSE)</f>
        <v>120</v>
      </c>
      <c r="S39" s="135">
        <f>VLOOKUP(Mapping!$I53,_ECB_CS,4,FALSE)</f>
        <v>215</v>
      </c>
      <c r="T39" s="134">
        <f>VLOOKUP(Mapping!$H53,_CEUS,2,FALSE)</f>
        <v>0.13698630136986303</v>
      </c>
      <c r="U39" s="134">
        <f>VLOOKUP(Mapping!$H53,_CEUS,3,FALSE)</f>
        <v>5.7077625570776253E-2</v>
      </c>
      <c r="V39" s="32" t="s">
        <v>51</v>
      </c>
      <c r="W39" s="32" t="s">
        <v>78</v>
      </c>
    </row>
    <row r="40" spans="1:24">
      <c r="A40" s="34" t="s">
        <v>619</v>
      </c>
      <c r="B40" s="27" t="s">
        <v>166</v>
      </c>
      <c r="C40" s="26" t="e">
        <f>VLOOKUP(Mapping!#REF!,_90_1_2001,2,FALSE)</f>
        <v>#REF!</v>
      </c>
      <c r="D40" s="26" t="e">
        <f>VLOOKUP(Mapping!#REF!,_90_1_2007,2,FALSE)</f>
        <v>#REF!</v>
      </c>
      <c r="E40" s="26" t="e">
        <f>VLOOKUP(Mapping!#REF!,_90_1_2010,2,FALSE)</f>
        <v>#REF!</v>
      </c>
      <c r="F40" s="26" t="e">
        <f>VLOOKUP(Mapping!#REF!,_90_1_2010,3,FALSE)</f>
        <v>#REF!</v>
      </c>
      <c r="G40" s="134">
        <v>1</v>
      </c>
      <c r="H40" s="134" t="e">
        <f>VLOOKUP(Mapping!#REF!,_Plugs,13,FALSE)</f>
        <v>#REF!</v>
      </c>
      <c r="I40" s="134" t="e">
        <f>VLOOKUP(Mapping!#REF!,_Plugs,14,FALSE)</f>
        <v>#REF!</v>
      </c>
      <c r="J40" s="134" t="e">
        <f>VLOOKUP(Mapping!#REF!,_Plugs,15,FALSE)</f>
        <v>#REF!</v>
      </c>
      <c r="K40" s="134" t="e">
        <f>VLOOKUP(Mapping!#REF!,_Plugs,16,FALSE)</f>
        <v>#REF!</v>
      </c>
      <c r="L40" s="135">
        <v>20</v>
      </c>
      <c r="M40" s="135">
        <v>20</v>
      </c>
      <c r="N40" s="135">
        <v>245</v>
      </c>
      <c r="O40" s="135">
        <v>155</v>
      </c>
      <c r="P40" s="134">
        <v>0.38</v>
      </c>
      <c r="Q40" s="134">
        <v>0.38</v>
      </c>
      <c r="R40" s="135" t="e">
        <f>VLOOKUP(Mapping!#REF!,_ACM05,6,FALSE)</f>
        <v>#REF!</v>
      </c>
      <c r="S40" s="135" t="e">
        <f>VLOOKUP(Mapping!#REF!,_ECB_CS,4,FALSE)</f>
        <v>#REF!</v>
      </c>
      <c r="T40" s="134" t="e">
        <f>VLOOKUP(Mapping!#REF!,_CEUS,2,FALSE)</f>
        <v>#REF!</v>
      </c>
      <c r="U40" s="134" t="e">
        <f>VLOOKUP(Mapping!#REF!,_CEUS,3,FALSE)</f>
        <v>#REF!</v>
      </c>
      <c r="V40" s="32" t="s">
        <v>51</v>
      </c>
      <c r="W40" s="32" t="s">
        <v>78</v>
      </c>
    </row>
    <row r="41" spans="1:24">
      <c r="A41" s="34" t="s">
        <v>481</v>
      </c>
      <c r="B41" s="27" t="s">
        <v>107</v>
      </c>
      <c r="C41" s="26">
        <f>VLOOKUP(Mapping!$E69,_90_1_2001,2,FALSE)</f>
        <v>2.2000000000000002</v>
      </c>
      <c r="D41" s="26">
        <f>VLOOKUP(Mapping!$D69,_90_1_2007,2,FALSE)</f>
        <v>2.1</v>
      </c>
      <c r="E41" s="26">
        <f>VLOOKUP(Mapping!$C69,_90_1_2010,2,FALSE)</f>
        <v>0.89</v>
      </c>
      <c r="F41" s="26">
        <f>VLOOKUP(Mapping!$C69,_90_1_2010,3,FALSE)</f>
        <v>4</v>
      </c>
      <c r="G41" s="134">
        <v>0.2</v>
      </c>
      <c r="H41" s="134">
        <f>VLOOKUP(Mapping!G69,_Plugs,13,FALSE)</f>
        <v>1.3160573887824656</v>
      </c>
      <c r="I41" s="134">
        <f>VLOOKUP(Mapping!$G69,_Plugs,14,FALSE)</f>
        <v>2</v>
      </c>
      <c r="J41" s="134">
        <f>VLOOKUP(Mapping!$G69,_Plugs,15,FALSE)</f>
        <v>0.92936802973977695</v>
      </c>
      <c r="K41" s="134">
        <f>VLOOKUP(Mapping!$G69,_Plugs,16,FALSE)</f>
        <v>1</v>
      </c>
      <c r="L41" s="135">
        <v>15</v>
      </c>
      <c r="M41" s="135">
        <v>30</v>
      </c>
      <c r="N41" s="135">
        <v>275</v>
      </c>
      <c r="O41" s="135">
        <v>275</v>
      </c>
      <c r="P41" s="134">
        <v>0.5</v>
      </c>
      <c r="Q41" s="134">
        <v>0.5</v>
      </c>
      <c r="R41" s="135">
        <f>VLOOKUP(Mapping!$J69,_ACM05,6,FALSE)</f>
        <v>0</v>
      </c>
      <c r="S41" s="135">
        <f>VLOOKUP(Mapping!$I69,_ECB_CS,4,FALSE)</f>
        <v>300</v>
      </c>
      <c r="T41" s="134">
        <f>VLOOKUP(Mapping!$H69,_CEUS,2,FALSE)</f>
        <v>17.534246575342468</v>
      </c>
      <c r="U41" s="134">
        <f>VLOOKUP(Mapping!$H69,_CEUS,3,FALSE)</f>
        <v>1.1267123287671232</v>
      </c>
      <c r="V41" s="32" t="s">
        <v>51</v>
      </c>
      <c r="W41" s="32" t="s">
        <v>41</v>
      </c>
    </row>
    <row r="42" spans="1:24">
      <c r="A42" s="34" t="s">
        <v>481</v>
      </c>
      <c r="B42" s="27" t="s">
        <v>114</v>
      </c>
      <c r="C42" s="26">
        <f>VLOOKUP(Mapping!$E73,_90_1_2001,2,FALSE)</f>
        <v>2.2000000000000002</v>
      </c>
      <c r="D42" s="26">
        <f>VLOOKUP(Mapping!$D73,_90_1_2007,2,FALSE)</f>
        <v>1.2</v>
      </c>
      <c r="E42" s="26">
        <f>VLOOKUP(Mapping!$C73,_90_1_2010,2,FALSE)</f>
        <v>0.99</v>
      </c>
      <c r="F42" s="26">
        <f>VLOOKUP(Mapping!$C73,_90_1_2010,3,FALSE)</f>
        <v>6</v>
      </c>
      <c r="G42" s="134">
        <v>1.5</v>
      </c>
      <c r="H42" s="134">
        <f>VLOOKUP(Mapping!G73,_Plugs,13,FALSE)</f>
        <v>1.3160573887824656</v>
      </c>
      <c r="I42" s="134">
        <f>VLOOKUP(Mapping!$G73,_Plugs,14,FALSE)</f>
        <v>2</v>
      </c>
      <c r="J42" s="134">
        <f>VLOOKUP(Mapping!$G73,_Plugs,15,FALSE)</f>
        <v>0.92936802973977695</v>
      </c>
      <c r="K42" s="134">
        <f>VLOOKUP(Mapping!$G73,_Plugs,16,FALSE)</f>
        <v>1</v>
      </c>
      <c r="L42" s="135">
        <v>200</v>
      </c>
      <c r="M42" s="135">
        <v>200</v>
      </c>
      <c r="N42" s="135">
        <v>275</v>
      </c>
      <c r="O42" s="135">
        <v>475</v>
      </c>
      <c r="P42" s="134">
        <v>0.15</v>
      </c>
      <c r="Q42" s="134">
        <v>0.15</v>
      </c>
      <c r="R42" s="135">
        <f>VLOOKUP(Mapping!$J73,_ACM05,6,FALSE)</f>
        <v>385</v>
      </c>
      <c r="S42" s="135">
        <f>VLOOKUP(Mapping!$I73,_ECB_CS,4,FALSE)</f>
        <v>400</v>
      </c>
      <c r="T42" s="134">
        <f>VLOOKUP(Mapping!$H73,_CEUS,2,FALSE)</f>
        <v>35.068493150684937</v>
      </c>
      <c r="U42" s="134">
        <f>VLOOKUP(Mapping!$H73,_CEUS,3,FALSE)</f>
        <v>2.2534246575342465</v>
      </c>
      <c r="V42" s="32" t="s">
        <v>51</v>
      </c>
      <c r="W42" s="32" t="s">
        <v>41</v>
      </c>
    </row>
    <row r="43" spans="1:24">
      <c r="A43" s="34" t="s">
        <v>490</v>
      </c>
      <c r="B43" s="27" t="s">
        <v>105</v>
      </c>
      <c r="C43" s="26">
        <f>VLOOKUP(Mapping!$E70,_90_1_2001,2,FALSE)</f>
        <v>1.4</v>
      </c>
      <c r="D43" s="26">
        <f>VLOOKUP(Mapping!$D70,_90_1_2007,2,FALSE)</f>
        <v>0.9</v>
      </c>
      <c r="E43" s="26">
        <f>VLOOKUP(Mapping!$C70,_90_1_2010,2,FALSE)</f>
        <v>0.65</v>
      </c>
      <c r="F43" s="26">
        <f>VLOOKUP(Mapping!$C70,_90_1_2010,3,FALSE)</f>
        <v>4</v>
      </c>
      <c r="G43" s="134">
        <v>0.5</v>
      </c>
      <c r="H43" s="134">
        <f>VLOOKUP(Mapping!G70,_Plugs,13,FALSE)</f>
        <v>1.3160573887824656</v>
      </c>
      <c r="I43" s="134">
        <f>VLOOKUP(Mapping!$G70,_Plugs,14,FALSE)</f>
        <v>2</v>
      </c>
      <c r="J43" s="134">
        <f>VLOOKUP(Mapping!$G70,_Plugs,15,FALSE)</f>
        <v>0.92936802973977695</v>
      </c>
      <c r="K43" s="134">
        <f>VLOOKUP(Mapping!$G70,_Plugs,16,FALSE)</f>
        <v>1</v>
      </c>
      <c r="L43" s="135">
        <v>15</v>
      </c>
      <c r="M43" s="135">
        <v>30</v>
      </c>
      <c r="N43" s="135">
        <v>275</v>
      </c>
      <c r="O43" s="135">
        <v>275</v>
      </c>
      <c r="P43" s="134">
        <v>0.5</v>
      </c>
      <c r="Q43" s="134">
        <v>0.5</v>
      </c>
      <c r="R43" s="135">
        <f>VLOOKUP(Mapping!$J70,_ACM05,6,FALSE)</f>
        <v>385</v>
      </c>
      <c r="S43" s="135">
        <f>VLOOKUP(Mapping!$I70,_ECB_CS,4,FALSE)</f>
        <v>300</v>
      </c>
      <c r="T43" s="134">
        <f>VLOOKUP(Mapping!$H70,_CEUS,2,FALSE)</f>
        <v>17.534246575342468</v>
      </c>
      <c r="U43" s="134">
        <f>VLOOKUP(Mapping!$H70,_CEUS,3,FALSE)</f>
        <v>1.1267123287671232</v>
      </c>
      <c r="V43" s="32" t="s">
        <v>51</v>
      </c>
      <c r="W43" s="32" t="s">
        <v>41</v>
      </c>
    </row>
    <row r="44" spans="1:24">
      <c r="A44" s="34" t="s">
        <v>490</v>
      </c>
      <c r="B44" s="27" t="s">
        <v>106</v>
      </c>
      <c r="C44" s="26">
        <f>VLOOKUP(Mapping!$E67,_90_1_2001,2,FALSE)</f>
        <v>1.2</v>
      </c>
      <c r="D44" s="26">
        <f>VLOOKUP(Mapping!$D67,_90_1_2007,2,FALSE)</f>
        <v>1.4</v>
      </c>
      <c r="E44" s="26">
        <f>VLOOKUP(Mapping!$C67,_90_1_2010,2,FALSE)</f>
        <v>1.31</v>
      </c>
      <c r="F44" s="26">
        <f>VLOOKUP(Mapping!$C67,_90_1_2010,3,FALSE)</f>
        <v>4</v>
      </c>
      <c r="G44" s="134">
        <v>1</v>
      </c>
      <c r="H44" s="134">
        <f>VLOOKUP(Mapping!G67,_Plugs,13,FALSE)</f>
        <v>1.2629966462352749</v>
      </c>
      <c r="I44" s="134">
        <f>VLOOKUP(Mapping!$G67,_Plugs,14,FALSE)</f>
        <v>2</v>
      </c>
      <c r="J44" s="134">
        <f>VLOOKUP(Mapping!$G67,_Plugs,15,FALSE)</f>
        <v>0.92936802973977695</v>
      </c>
      <c r="K44" s="134">
        <f>VLOOKUP(Mapping!$G67,_Plugs,16,FALSE)</f>
        <v>1</v>
      </c>
      <c r="L44" s="135">
        <v>15</v>
      </c>
      <c r="M44" s="135">
        <v>30</v>
      </c>
      <c r="N44" s="135">
        <v>275</v>
      </c>
      <c r="O44" s="135">
        <v>275</v>
      </c>
      <c r="P44" s="134">
        <v>0.5</v>
      </c>
      <c r="Q44" s="134">
        <v>0.5</v>
      </c>
      <c r="R44" s="135">
        <f>VLOOKUP(Mapping!$J67,_ACM05,6,FALSE)</f>
        <v>120</v>
      </c>
      <c r="S44" s="135">
        <f>VLOOKUP(Mapping!$I67,_ECB_CS,4,FALSE)</f>
        <v>300</v>
      </c>
      <c r="T44" s="134">
        <f>VLOOKUP(Mapping!$H67,_CEUS,2,FALSE)</f>
        <v>17.534246575342468</v>
      </c>
      <c r="U44" s="134">
        <f>VLOOKUP(Mapping!$H67,_CEUS,3,FALSE)</f>
        <v>1.1267123287671232</v>
      </c>
      <c r="V44" s="32" t="s">
        <v>51</v>
      </c>
      <c r="W44" s="32" t="s">
        <v>41</v>
      </c>
    </row>
    <row r="45" spans="1:24">
      <c r="A45" s="34" t="s">
        <v>490</v>
      </c>
      <c r="B45" s="27" t="s">
        <v>134</v>
      </c>
      <c r="C45" s="26" t="e">
        <f>VLOOKUP(Mapping!#REF!,_90_1_2001,2,FALSE)</f>
        <v>#REF!</v>
      </c>
      <c r="D45" s="26" t="e">
        <f>VLOOKUP(Mapping!#REF!,_90_1_2007,2,FALSE)</f>
        <v>#REF!</v>
      </c>
      <c r="E45" s="26" t="e">
        <f>VLOOKUP(Mapping!#REF!,_90_1_2010,2,FALSE)</f>
        <v>#REF!</v>
      </c>
      <c r="F45" s="26" t="e">
        <f>VLOOKUP(Mapping!#REF!,_90_1_2010,3,FALSE)</f>
        <v>#REF!</v>
      </c>
      <c r="G45" s="134">
        <v>0.5</v>
      </c>
      <c r="H45" s="134" t="e">
        <f>VLOOKUP(Mapping!#REF!,_Plugs,13,FALSE)</f>
        <v>#REF!</v>
      </c>
      <c r="I45" s="134" t="e">
        <f>VLOOKUP(Mapping!#REF!,_Plugs,14,FALSE)</f>
        <v>#REF!</v>
      </c>
      <c r="J45" s="134" t="e">
        <f>VLOOKUP(Mapping!#REF!,_Plugs,15,FALSE)</f>
        <v>#REF!</v>
      </c>
      <c r="K45" s="134" t="e">
        <f>VLOOKUP(Mapping!#REF!,_Plugs,16,FALSE)</f>
        <v>#REF!</v>
      </c>
      <c r="L45" s="135">
        <v>15</v>
      </c>
      <c r="M45" s="135">
        <v>30</v>
      </c>
      <c r="N45" s="135">
        <v>275</v>
      </c>
      <c r="O45" s="135">
        <v>275</v>
      </c>
      <c r="P45" s="134">
        <v>0.5</v>
      </c>
      <c r="Q45" s="134">
        <v>0.5</v>
      </c>
      <c r="R45" s="135" t="e">
        <f>VLOOKUP(Mapping!#REF!,_ACM05,6,FALSE)</f>
        <v>#REF!</v>
      </c>
      <c r="S45" s="135" t="e">
        <f>VLOOKUP(Mapping!#REF!,_ECB_CS,4,FALSE)</f>
        <v>#REF!</v>
      </c>
      <c r="T45" s="134" t="e">
        <f>VLOOKUP(Mapping!#REF!,_CEUS,2,FALSE)</f>
        <v>#REF!</v>
      </c>
      <c r="U45" s="134" t="e">
        <f>VLOOKUP(Mapping!#REF!,_CEUS,3,FALSE)</f>
        <v>#REF!</v>
      </c>
      <c r="V45" s="32" t="s">
        <v>51</v>
      </c>
      <c r="W45" s="32" t="s">
        <v>41</v>
      </c>
    </row>
    <row r="46" spans="1:24">
      <c r="A46" s="34" t="s">
        <v>490</v>
      </c>
      <c r="B46" s="27" t="s">
        <v>137</v>
      </c>
      <c r="C46" s="26" t="e">
        <f>VLOOKUP(Mapping!#REF!,_90_1_2001,2,FALSE)</f>
        <v>#REF!</v>
      </c>
      <c r="D46" s="26" t="e">
        <f>VLOOKUP(Mapping!#REF!,_90_1_2007,2,FALSE)</f>
        <v>#REF!</v>
      </c>
      <c r="E46" s="26" t="e">
        <f>VLOOKUP(Mapping!#REF!,_90_1_2010,2,FALSE)</f>
        <v>#REF!</v>
      </c>
      <c r="F46" s="26" t="e">
        <f>VLOOKUP(Mapping!#REF!,_90_1_2010,3,FALSE)</f>
        <v>#REF!</v>
      </c>
      <c r="G46" s="134">
        <v>0.5</v>
      </c>
      <c r="H46" s="134" t="e">
        <f>VLOOKUP(Mapping!#REF!,_Plugs,13,FALSE)</f>
        <v>#REF!</v>
      </c>
      <c r="I46" s="134" t="e">
        <f>VLOOKUP(Mapping!#REF!,_Plugs,14,FALSE)</f>
        <v>#REF!</v>
      </c>
      <c r="J46" s="134" t="e">
        <f>VLOOKUP(Mapping!#REF!,_Plugs,15,FALSE)</f>
        <v>#REF!</v>
      </c>
      <c r="K46" s="134" t="e">
        <f>VLOOKUP(Mapping!#REF!,_Plugs,16,FALSE)</f>
        <v>#REF!</v>
      </c>
      <c r="L46" s="135">
        <v>15</v>
      </c>
      <c r="M46" s="135">
        <v>30</v>
      </c>
      <c r="N46" s="135">
        <v>275</v>
      </c>
      <c r="O46" s="135">
        <v>275</v>
      </c>
      <c r="P46" s="134">
        <v>0.5</v>
      </c>
      <c r="Q46" s="134">
        <v>0.5</v>
      </c>
      <c r="R46" s="135" t="e">
        <f>VLOOKUP(Mapping!#REF!,_ACM05,6,FALSE)</f>
        <v>#REF!</v>
      </c>
      <c r="S46" s="135" t="e">
        <f>VLOOKUP(Mapping!#REF!,_ECB_CS,4,FALSE)</f>
        <v>#REF!</v>
      </c>
      <c r="T46" s="134" t="e">
        <f>VLOOKUP(Mapping!#REF!,_CEUS,2,FALSE)</f>
        <v>#REF!</v>
      </c>
      <c r="U46" s="134" t="e">
        <f>VLOOKUP(Mapping!#REF!,_CEUS,3,FALSE)</f>
        <v>#REF!</v>
      </c>
      <c r="V46" s="32" t="s">
        <v>51</v>
      </c>
      <c r="W46" s="32" t="s">
        <v>41</v>
      </c>
    </row>
    <row r="47" spans="1:24">
      <c r="A47" s="34" t="s">
        <v>490</v>
      </c>
      <c r="B47" s="27" t="s">
        <v>167</v>
      </c>
      <c r="C47" s="26" t="e">
        <f>VLOOKUP(Mapping!#REF!,_90_1_2001,2,FALSE)</f>
        <v>#REF!</v>
      </c>
      <c r="D47" s="26" t="e">
        <f>VLOOKUP(Mapping!#REF!,_90_1_2007,2,FALSE)</f>
        <v>#REF!</v>
      </c>
      <c r="E47" s="26" t="e">
        <f>VLOOKUP(Mapping!#REF!,_90_1_2010,2,FALSE)</f>
        <v>#REF!</v>
      </c>
      <c r="F47" s="26" t="e">
        <f>VLOOKUP(Mapping!#REF!,_90_1_2010,3,FALSE)</f>
        <v>#REF!</v>
      </c>
      <c r="G47" s="134">
        <v>0.5</v>
      </c>
      <c r="H47" s="134" t="e">
        <f>VLOOKUP(Mapping!#REF!,_Plugs,13,FALSE)</f>
        <v>#REF!</v>
      </c>
      <c r="I47" s="134" t="e">
        <f>VLOOKUP(Mapping!#REF!,_Plugs,14,FALSE)</f>
        <v>#REF!</v>
      </c>
      <c r="J47" s="134" t="e">
        <f>VLOOKUP(Mapping!#REF!,_Plugs,15,FALSE)</f>
        <v>#REF!</v>
      </c>
      <c r="K47" s="134" t="e">
        <f>VLOOKUP(Mapping!#REF!,_Plugs,16,FALSE)</f>
        <v>#REF!</v>
      </c>
      <c r="L47" s="135">
        <v>15</v>
      </c>
      <c r="M47" s="135">
        <v>15</v>
      </c>
      <c r="N47" s="135">
        <v>275</v>
      </c>
      <c r="O47" s="135">
        <v>275</v>
      </c>
      <c r="P47" s="134">
        <v>0.5</v>
      </c>
      <c r="Q47" s="134">
        <v>0.5</v>
      </c>
      <c r="R47" s="135" t="e">
        <f>VLOOKUP(Mapping!#REF!,_ACM05,6,FALSE)</f>
        <v>#REF!</v>
      </c>
      <c r="S47" s="135" t="e">
        <f>VLOOKUP(Mapping!#REF!,_ECB_CS,4,FALSE)</f>
        <v>#REF!</v>
      </c>
      <c r="T47" s="134" t="e">
        <f>VLOOKUP(Mapping!#REF!,_CEUS,2,FALSE)</f>
        <v>#REF!</v>
      </c>
      <c r="U47" s="134" t="e">
        <f>VLOOKUP(Mapping!#REF!,_CEUS,3,FALSE)</f>
        <v>#REF!</v>
      </c>
      <c r="V47" s="32" t="s">
        <v>51</v>
      </c>
      <c r="W47" s="32" t="s">
        <v>41</v>
      </c>
    </row>
    <row r="48" spans="1:24">
      <c r="A48" s="34" t="s">
        <v>638</v>
      </c>
      <c r="B48" s="27" t="s">
        <v>119</v>
      </c>
      <c r="C48" s="26">
        <f>VLOOKUP(Mapping!$E60,_90_1_2001,2,FALSE)</f>
        <v>1.6</v>
      </c>
      <c r="D48" s="26">
        <f>VLOOKUP(Mapping!$D60,_90_1_2007,2,FALSE)</f>
        <v>1</v>
      </c>
      <c r="E48" s="26">
        <f>VLOOKUP(Mapping!$C60,_90_1_2010,2,FALSE)</f>
        <v>0.89</v>
      </c>
      <c r="F48" s="26" t="str">
        <f>VLOOKUP(Mapping!$C60,_90_1_2010,3,FALSE)</f>
        <v xml:space="preserve"> Width &lt; 8 ft  </v>
      </c>
      <c r="G48" s="134">
        <v>0.2</v>
      </c>
      <c r="H48" s="134">
        <f>VLOOKUP(Mapping!G60,_Plugs,13,FALSE)</f>
        <v>1.2488271893219809</v>
      </c>
      <c r="I48" s="134">
        <f>VLOOKUP(Mapping!$G60,_Plugs,14,FALSE)</f>
        <v>2</v>
      </c>
      <c r="J48" s="134">
        <f>VLOOKUP(Mapping!$G60,_Plugs,15,FALSE)</f>
        <v>0.762081784386617</v>
      </c>
      <c r="K48" s="134">
        <f>VLOOKUP(Mapping!$G60,_Plugs,16,FALSE)</f>
        <v>1</v>
      </c>
      <c r="L48" s="135">
        <v>100</v>
      </c>
      <c r="M48" s="135">
        <v>100</v>
      </c>
      <c r="N48" s="135">
        <v>250</v>
      </c>
      <c r="O48" s="135">
        <v>250</v>
      </c>
      <c r="P48" s="134">
        <v>0.15</v>
      </c>
      <c r="Q48" s="134">
        <v>0.15</v>
      </c>
      <c r="R48" s="135">
        <f>VLOOKUP(Mapping!$J60,_ACM05,6,FALSE)</f>
        <v>0</v>
      </c>
      <c r="S48" s="135">
        <f>VLOOKUP(Mapping!$I60,_ECB_CS,4,FALSE)</f>
        <v>0</v>
      </c>
      <c r="T48" s="134">
        <f>VLOOKUP(Mapping!$H60,_CEUS,2,FALSE)</f>
        <v>1.1301369863013697</v>
      </c>
      <c r="U48" s="134">
        <f>VLOOKUP(Mapping!$H60,_CEUS,3,FALSE)</f>
        <v>8.1050228310502279E-2</v>
      </c>
      <c r="V48" s="32" t="s">
        <v>51</v>
      </c>
      <c r="W48" s="32" t="s">
        <v>55</v>
      </c>
    </row>
    <row r="49" spans="1:23">
      <c r="A49" s="34" t="s">
        <v>638</v>
      </c>
      <c r="B49" s="27" t="s">
        <v>121</v>
      </c>
      <c r="C49" s="26">
        <f>VLOOKUP(Mapping!$E110,_90_1_2001,2,FALSE)</f>
        <v>2.8</v>
      </c>
      <c r="D49" s="26">
        <f>VLOOKUP(Mapping!$D110,_90_1_2007,2,FALSE)</f>
        <v>2.7</v>
      </c>
      <c r="E49" s="26">
        <f>VLOOKUP(Mapping!$C110,_90_1_2010,2,FALSE)</f>
        <v>2.2599999999999998</v>
      </c>
      <c r="F49" s="26">
        <f>VLOOKUP(Mapping!$C110,_90_1_2010,3,FALSE)</f>
        <v>6</v>
      </c>
      <c r="G49" s="134">
        <v>1.5</v>
      </c>
      <c r="H49" s="134">
        <f>VLOOKUP(Mapping!G110,_Plugs,13,FALSE)</f>
        <v>1.2488271893219809</v>
      </c>
      <c r="I49" s="134">
        <f>VLOOKUP(Mapping!$G110,_Plugs,14,FALSE)</f>
        <v>2</v>
      </c>
      <c r="J49" s="134">
        <f>VLOOKUP(Mapping!$G110,_Plugs,15,FALSE)</f>
        <v>0.762081784386617</v>
      </c>
      <c r="K49" s="134">
        <f>VLOOKUP(Mapping!$G110,_Plugs,16,FALSE)</f>
        <v>1</v>
      </c>
      <c r="L49" s="135">
        <v>100</v>
      </c>
      <c r="M49" s="135">
        <v>100</v>
      </c>
      <c r="N49" s="135">
        <v>250</v>
      </c>
      <c r="O49" s="135">
        <v>200</v>
      </c>
      <c r="P49" s="134">
        <v>0.15</v>
      </c>
      <c r="Q49" s="134">
        <v>0.15</v>
      </c>
      <c r="R49" s="135">
        <f>VLOOKUP(Mapping!$J110,_ACM05,6,FALSE)</f>
        <v>160</v>
      </c>
      <c r="S49" s="135">
        <f>VLOOKUP(Mapping!$I110,_ECB_CS,4,FALSE)</f>
        <v>1000</v>
      </c>
      <c r="T49" s="134">
        <f>VLOOKUP(Mapping!$H110,_CEUS,2,FALSE)</f>
        <v>1.1301369863013697</v>
      </c>
      <c r="U49" s="134">
        <f>VLOOKUP(Mapping!$H110,_CEUS,3,FALSE)</f>
        <v>8.1050228310502279E-2</v>
      </c>
      <c r="V49" s="32" t="s">
        <v>51</v>
      </c>
      <c r="W49" s="32" t="s">
        <v>55</v>
      </c>
    </row>
    <row r="50" spans="1:23">
      <c r="A50" s="34" t="s">
        <v>638</v>
      </c>
      <c r="B50" s="27" t="s">
        <v>122</v>
      </c>
      <c r="C50" s="26">
        <f>VLOOKUP(Mapping!$E111,_90_1_2001,2,FALSE)</f>
        <v>1.6</v>
      </c>
      <c r="D50" s="26">
        <f>VLOOKUP(Mapping!$D111,_90_1_2007,2,FALSE)</f>
        <v>1.5</v>
      </c>
      <c r="E50" s="26">
        <f>VLOOKUP(Mapping!$C111,_90_1_2010,2,FALSE)</f>
        <v>1.66</v>
      </c>
      <c r="F50" s="26">
        <f>VLOOKUP(Mapping!$C111,_90_1_2010,3,FALSE)</f>
        <v>8</v>
      </c>
      <c r="G50" s="134">
        <v>1.5</v>
      </c>
      <c r="H50" s="134">
        <f>VLOOKUP(Mapping!G111,_Plugs,13,FALSE)</f>
        <v>1.2488271893219809</v>
      </c>
      <c r="I50" s="134">
        <f>VLOOKUP(Mapping!$G111,_Plugs,14,FALSE)</f>
        <v>2</v>
      </c>
      <c r="J50" s="134">
        <f>VLOOKUP(Mapping!$G111,_Plugs,15,FALSE)</f>
        <v>0.762081784386617</v>
      </c>
      <c r="K50" s="134">
        <f>VLOOKUP(Mapping!$G111,_Plugs,16,FALSE)</f>
        <v>1</v>
      </c>
      <c r="L50" s="135">
        <v>100</v>
      </c>
      <c r="M50" s="135">
        <v>100</v>
      </c>
      <c r="N50" s="135">
        <v>250</v>
      </c>
      <c r="O50" s="135">
        <v>200</v>
      </c>
      <c r="P50" s="134">
        <v>0.15</v>
      </c>
      <c r="Q50" s="134">
        <v>0.15</v>
      </c>
      <c r="R50" s="135">
        <f>VLOOKUP(Mapping!$J111,_ACM05,6,FALSE)</f>
        <v>160</v>
      </c>
      <c r="S50" s="135">
        <f>VLOOKUP(Mapping!$I111,_ECB_CS,4,FALSE)</f>
        <v>300</v>
      </c>
      <c r="T50" s="134">
        <f>VLOOKUP(Mapping!$H111,_CEUS,2,FALSE)</f>
        <v>1.1301369863013697</v>
      </c>
      <c r="U50" s="134">
        <f>VLOOKUP(Mapping!$H111,_CEUS,3,FALSE)</f>
        <v>8.1050228310502279E-2</v>
      </c>
      <c r="V50" s="32" t="s">
        <v>51</v>
      </c>
      <c r="W50" s="32" t="s">
        <v>55</v>
      </c>
    </row>
    <row r="51" spans="1:23">
      <c r="A51" s="34" t="s">
        <v>638</v>
      </c>
      <c r="B51" s="27" t="s">
        <v>123</v>
      </c>
      <c r="C51" s="26" t="e">
        <f>VLOOKUP(Mapping!#REF!,_90_1_2001,2,FALSE)</f>
        <v>#REF!</v>
      </c>
      <c r="D51" s="26" t="e">
        <f>VLOOKUP(Mapping!#REF!,_90_1_2007,2,FALSE)</f>
        <v>#REF!</v>
      </c>
      <c r="E51" s="26" t="e">
        <f>VLOOKUP(Mapping!#REF!,_90_1_2010,2,FALSE)</f>
        <v>#REF!</v>
      </c>
      <c r="F51" s="26" t="e">
        <f>VLOOKUP(Mapping!#REF!,_90_1_2010,3,FALSE)</f>
        <v>#REF!</v>
      </c>
      <c r="G51" s="134">
        <v>3</v>
      </c>
      <c r="H51" s="134" t="e">
        <f>VLOOKUP(Mapping!#REF!,_Plugs,13,FALSE)</f>
        <v>#REF!</v>
      </c>
      <c r="I51" s="134" t="e">
        <f>VLOOKUP(Mapping!#REF!,_Plugs,14,FALSE)</f>
        <v>#REF!</v>
      </c>
      <c r="J51" s="134" t="e">
        <f>VLOOKUP(Mapping!#REF!,_Plugs,15,FALSE)</f>
        <v>#REF!</v>
      </c>
      <c r="K51" s="134" t="e">
        <f>VLOOKUP(Mapping!#REF!,_Plugs,16,FALSE)</f>
        <v>#REF!</v>
      </c>
      <c r="L51" s="135">
        <v>100</v>
      </c>
      <c r="M51" s="135">
        <v>100</v>
      </c>
      <c r="N51" s="135">
        <v>250</v>
      </c>
      <c r="O51" s="135">
        <v>250</v>
      </c>
      <c r="P51" s="134">
        <v>0.15</v>
      </c>
      <c r="Q51" s="134">
        <v>0.15</v>
      </c>
      <c r="R51" s="135" t="e">
        <f>VLOOKUP(Mapping!#REF!,_ACM05,6,FALSE)</f>
        <v>#REF!</v>
      </c>
      <c r="S51" s="135" t="e">
        <f>VLOOKUP(Mapping!#REF!,_ECB_CS,4,FALSE)</f>
        <v>#REF!</v>
      </c>
      <c r="T51" s="134" t="e">
        <f>VLOOKUP(Mapping!#REF!,_CEUS,2,FALSE)</f>
        <v>#REF!</v>
      </c>
      <c r="U51" s="134" t="e">
        <f>VLOOKUP(Mapping!#REF!,_CEUS,3,FALSE)</f>
        <v>#REF!</v>
      </c>
      <c r="V51" s="32" t="s">
        <v>47</v>
      </c>
      <c r="W51" s="32" t="s">
        <v>55</v>
      </c>
    </row>
    <row r="52" spans="1:23">
      <c r="A52" s="34" t="s">
        <v>638</v>
      </c>
      <c r="B52" s="27" t="s">
        <v>124</v>
      </c>
      <c r="C52" s="26">
        <f>VLOOKUP(Mapping!$E87,_90_1_2001,2,FALSE)</f>
        <v>1.4</v>
      </c>
      <c r="D52" s="26">
        <f>VLOOKUP(Mapping!$D87,_90_1_2007,2,FALSE)</f>
        <v>0.8</v>
      </c>
      <c r="E52" s="26">
        <f>VLOOKUP(Mapping!$C87,_90_1_2010,2,FALSE)</f>
        <v>1.07</v>
      </c>
      <c r="F52" s="26">
        <f>VLOOKUP(Mapping!$C87,_90_1_2010,3,FALSE)</f>
        <v>6</v>
      </c>
      <c r="G52" s="134">
        <v>0.5</v>
      </c>
      <c r="H52" s="134">
        <f>VLOOKUP(Mapping!G87,_Plugs,13,FALSE)</f>
        <v>1.2488271893219809</v>
      </c>
      <c r="I52" s="134">
        <f>VLOOKUP(Mapping!$G87,_Plugs,14,FALSE)</f>
        <v>2</v>
      </c>
      <c r="J52" s="134">
        <f>VLOOKUP(Mapping!$G87,_Plugs,15,FALSE)</f>
        <v>0.762081784386617</v>
      </c>
      <c r="K52" s="134">
        <f>VLOOKUP(Mapping!$G87,_Plugs,16,FALSE)</f>
        <v>1</v>
      </c>
      <c r="L52" s="135">
        <v>100</v>
      </c>
      <c r="M52" s="135">
        <v>100</v>
      </c>
      <c r="N52" s="135">
        <v>250</v>
      </c>
      <c r="O52" s="135">
        <v>200</v>
      </c>
      <c r="P52" s="134">
        <v>0.15</v>
      </c>
      <c r="Q52" s="134">
        <v>0.15</v>
      </c>
      <c r="R52" s="135">
        <f>VLOOKUP(Mapping!$J87,_ACM05,6,FALSE)</f>
        <v>120</v>
      </c>
      <c r="S52" s="135">
        <f>VLOOKUP(Mapping!$I87,_ECB_CS,4,FALSE)</f>
        <v>0</v>
      </c>
      <c r="T52" s="134">
        <f>VLOOKUP(Mapping!$H87,_CEUS,2,FALSE)</f>
        <v>2.2831050228310501E-2</v>
      </c>
      <c r="U52" s="134">
        <f>VLOOKUP(Mapping!$H87,_CEUS,3,FALSE)</f>
        <v>6.6210045662100453E-2</v>
      </c>
      <c r="V52" s="32" t="s">
        <v>51</v>
      </c>
      <c r="W52" s="32" t="s">
        <v>55</v>
      </c>
    </row>
    <row r="53" spans="1:23">
      <c r="A53" s="34" t="s">
        <v>638</v>
      </c>
      <c r="B53" s="27" t="s">
        <v>125</v>
      </c>
      <c r="C53" s="26">
        <f>VLOOKUP(Mapping!$E98,_90_1_2001,2,FALSE)</f>
        <v>3</v>
      </c>
      <c r="D53" s="26">
        <f>VLOOKUP(Mapping!$D98,_90_1_2007,2,FALSE)</f>
        <v>1.4</v>
      </c>
      <c r="E53" s="26">
        <f>VLOOKUP(Mapping!$C98,_90_1_2010,2,FALSE)</f>
        <v>1.27</v>
      </c>
      <c r="F53" s="26">
        <f>VLOOKUP(Mapping!$C98,_90_1_2010,3,FALSE)</f>
        <v>6</v>
      </c>
      <c r="G53" s="134">
        <v>1.5</v>
      </c>
      <c r="H53" s="134">
        <f>VLOOKUP(Mapping!G98,_Plugs,13,FALSE)</f>
        <v>1.2488271893219809</v>
      </c>
      <c r="I53" s="134">
        <f>VLOOKUP(Mapping!$G98,_Plugs,14,FALSE)</f>
        <v>2</v>
      </c>
      <c r="J53" s="134">
        <f>VLOOKUP(Mapping!$G98,_Plugs,15,FALSE)</f>
        <v>0.762081784386617</v>
      </c>
      <c r="K53" s="134">
        <f>VLOOKUP(Mapping!$G98,_Plugs,16,FALSE)</f>
        <v>1</v>
      </c>
      <c r="L53" s="135">
        <v>100</v>
      </c>
      <c r="M53" s="135">
        <v>100</v>
      </c>
      <c r="N53" s="135">
        <v>250</v>
      </c>
      <c r="O53" s="135">
        <v>200</v>
      </c>
      <c r="P53" s="134">
        <v>0.15</v>
      </c>
      <c r="Q53" s="134">
        <v>0.15</v>
      </c>
      <c r="R53" s="135">
        <f>VLOOKUP(Mapping!$J98,_ACM05,6,FALSE)</f>
        <v>160</v>
      </c>
      <c r="S53" s="135">
        <f>VLOOKUP(Mapping!$I98,_ECB_CS,4,FALSE)</f>
        <v>0</v>
      </c>
      <c r="T53" s="134">
        <f>VLOOKUP(Mapping!$H98,_CEUS,2,FALSE)</f>
        <v>1.1301369863013697</v>
      </c>
      <c r="U53" s="134">
        <f>VLOOKUP(Mapping!$H98,_CEUS,3,FALSE)</f>
        <v>8.1050228310502279E-2</v>
      </c>
      <c r="V53" s="32" t="s">
        <v>51</v>
      </c>
      <c r="W53" s="32" t="s">
        <v>55</v>
      </c>
    </row>
    <row r="54" spans="1:23">
      <c r="A54" s="34" t="s">
        <v>638</v>
      </c>
      <c r="B54" s="27" t="s">
        <v>126</v>
      </c>
      <c r="C54" s="26">
        <f>VLOOKUP(Mapping!$E113,_90_1_2001,2,FALSE)</f>
        <v>1</v>
      </c>
      <c r="D54" s="26">
        <f>VLOOKUP(Mapping!$D113,_90_1_2007,2,FALSE)</f>
        <v>0.6</v>
      </c>
      <c r="E54" s="26">
        <f>VLOOKUP(Mapping!$C113,_90_1_2010,2,FALSE)</f>
        <v>0.88</v>
      </c>
      <c r="F54" s="26">
        <f>VLOOKUP(Mapping!$C113,_90_1_2010,3,FALSE)</f>
        <v>6</v>
      </c>
      <c r="G54" s="134">
        <v>0.5</v>
      </c>
      <c r="H54" s="134">
        <f>VLOOKUP(Mapping!G113,_Plugs,13,FALSE)</f>
        <v>1.2488271893219809</v>
      </c>
      <c r="I54" s="134">
        <f>VLOOKUP(Mapping!$G113,_Plugs,14,FALSE)</f>
        <v>2</v>
      </c>
      <c r="J54" s="134">
        <f>VLOOKUP(Mapping!$G113,_Plugs,15,FALSE)</f>
        <v>0.762081784386617</v>
      </c>
      <c r="K54" s="134">
        <f>VLOOKUP(Mapping!$G113,_Plugs,16,FALSE)</f>
        <v>1</v>
      </c>
      <c r="L54" s="135">
        <v>100</v>
      </c>
      <c r="M54" s="135">
        <v>100</v>
      </c>
      <c r="N54" s="135">
        <v>250</v>
      </c>
      <c r="O54" s="135">
        <v>200</v>
      </c>
      <c r="P54" s="134">
        <v>0.15</v>
      </c>
      <c r="Q54" s="134">
        <v>0.15</v>
      </c>
      <c r="R54" s="135">
        <f>VLOOKUP(Mapping!$J113,_ACM05,6,FALSE)</f>
        <v>160</v>
      </c>
      <c r="S54" s="135">
        <f>VLOOKUP(Mapping!$I113,_ECB_CS,4,FALSE)</f>
        <v>300</v>
      </c>
      <c r="T54" s="134">
        <f>VLOOKUP(Mapping!$H113,_CEUS,2,FALSE)</f>
        <v>1.1301369863013697</v>
      </c>
      <c r="U54" s="134">
        <f>VLOOKUP(Mapping!$H113,_CEUS,3,FALSE)</f>
        <v>8.1050228310502279E-2</v>
      </c>
      <c r="V54" s="32" t="s">
        <v>51</v>
      </c>
      <c r="W54" s="32" t="s">
        <v>55</v>
      </c>
    </row>
    <row r="55" spans="1:23">
      <c r="A55" s="34" t="s">
        <v>638</v>
      </c>
      <c r="B55" s="27" t="s">
        <v>127</v>
      </c>
      <c r="C55" s="26">
        <f>VLOOKUP(Mapping!$E114,_90_1_2001,2,FALSE)</f>
        <v>1.8</v>
      </c>
      <c r="D55" s="26">
        <f>VLOOKUP(Mapping!$D114,_90_1_2007,2,FALSE)</f>
        <v>1</v>
      </c>
      <c r="E55" s="26">
        <f>VLOOKUP(Mapping!$C114,_90_1_2010,2,FALSE)</f>
        <v>0.87</v>
      </c>
      <c r="F55" s="26">
        <f>VLOOKUP(Mapping!$C114,_90_1_2010,3,FALSE)</f>
        <v>6</v>
      </c>
      <c r="G55" s="134">
        <v>1.5</v>
      </c>
      <c r="H55" s="134">
        <f>VLOOKUP(Mapping!G114,_Plugs,13,FALSE)</f>
        <v>1.2488271893219809</v>
      </c>
      <c r="I55" s="134">
        <f>VLOOKUP(Mapping!$G114,_Plugs,14,FALSE)</f>
        <v>2</v>
      </c>
      <c r="J55" s="134">
        <f>VLOOKUP(Mapping!$G114,_Plugs,15,FALSE)</f>
        <v>0.762081784386617</v>
      </c>
      <c r="K55" s="134">
        <f>VLOOKUP(Mapping!$G114,_Plugs,16,FALSE)</f>
        <v>1</v>
      </c>
      <c r="L55" s="135">
        <v>100</v>
      </c>
      <c r="M55" s="135">
        <v>100</v>
      </c>
      <c r="N55" s="135">
        <v>250</v>
      </c>
      <c r="O55" s="135">
        <v>200</v>
      </c>
      <c r="P55" s="134">
        <v>0.15</v>
      </c>
      <c r="Q55" s="134">
        <v>0.15</v>
      </c>
      <c r="R55" s="135">
        <f>VLOOKUP(Mapping!$J114,_ACM05,6,FALSE)</f>
        <v>160</v>
      </c>
      <c r="S55" s="135">
        <f>VLOOKUP(Mapping!$I114,_ECB_CS,4,FALSE)</f>
        <v>150</v>
      </c>
      <c r="T55" s="134">
        <f>VLOOKUP(Mapping!$H114,_CEUS,2,FALSE)</f>
        <v>1.1301369863013697</v>
      </c>
      <c r="U55" s="134">
        <f>VLOOKUP(Mapping!$H114,_CEUS,3,FALSE)</f>
        <v>8.1050228310502279E-2</v>
      </c>
      <c r="V55" s="32" t="s">
        <v>51</v>
      </c>
      <c r="W55" s="32" t="s">
        <v>55</v>
      </c>
    </row>
    <row r="56" spans="1:23">
      <c r="A56" s="34" t="s">
        <v>638</v>
      </c>
      <c r="B56" s="27" t="s">
        <v>128</v>
      </c>
      <c r="C56" s="26">
        <f>VLOOKUP(Mapping!$E115,_90_1_2001,2,FALSE)</f>
        <v>7.6</v>
      </c>
      <c r="D56" s="26">
        <f>VLOOKUP(Mapping!$D115,_90_1_2007,2,FALSE)</f>
        <v>2.2000000000000002</v>
      </c>
      <c r="E56" s="26">
        <f>VLOOKUP(Mapping!$C115,_90_1_2010,2,FALSE)</f>
        <v>1.89</v>
      </c>
      <c r="F56" s="26">
        <f>VLOOKUP(Mapping!$C115,_90_1_2010,3,FALSE)</f>
        <v>6</v>
      </c>
      <c r="G56" s="134">
        <v>1.5</v>
      </c>
      <c r="H56" s="134">
        <f>VLOOKUP(Mapping!G115,_Plugs,13,FALSE)</f>
        <v>1.2488271893219809</v>
      </c>
      <c r="I56" s="134">
        <f>VLOOKUP(Mapping!$G115,_Plugs,14,FALSE)</f>
        <v>2</v>
      </c>
      <c r="J56" s="134">
        <f>VLOOKUP(Mapping!$G115,_Plugs,15,FALSE)</f>
        <v>0.762081784386617</v>
      </c>
      <c r="K56" s="134">
        <f>VLOOKUP(Mapping!$G115,_Plugs,16,FALSE)</f>
        <v>1</v>
      </c>
      <c r="L56" s="135">
        <v>100</v>
      </c>
      <c r="M56" s="135">
        <v>100</v>
      </c>
      <c r="N56" s="135">
        <v>250</v>
      </c>
      <c r="O56" s="135">
        <v>200</v>
      </c>
      <c r="P56" s="134">
        <v>0.15</v>
      </c>
      <c r="Q56" s="134">
        <v>0.15</v>
      </c>
      <c r="R56" s="135">
        <f>VLOOKUP(Mapping!$J115,_ACM05,6,FALSE)</f>
        <v>160</v>
      </c>
      <c r="S56" s="135">
        <f>VLOOKUP(Mapping!$I115,_ECB_CS,4,FALSE)</f>
        <v>1000</v>
      </c>
      <c r="T56" s="134">
        <f>VLOOKUP(Mapping!$H115,_CEUS,2,FALSE)</f>
        <v>1.1301369863013697</v>
      </c>
      <c r="U56" s="134">
        <f>VLOOKUP(Mapping!$H115,_CEUS,3,FALSE)</f>
        <v>8.1050228310502279E-2</v>
      </c>
      <c r="V56" s="32" t="s">
        <v>51</v>
      </c>
      <c r="W56" s="32" t="s">
        <v>55</v>
      </c>
    </row>
    <row r="57" spans="1:23">
      <c r="A57" s="34" t="s">
        <v>638</v>
      </c>
      <c r="B57" s="27" t="s">
        <v>129</v>
      </c>
      <c r="C57" s="26">
        <f>VLOOKUP(Mapping!$E116,_90_1_2001,2,FALSE)</f>
        <v>1.2</v>
      </c>
      <c r="D57" s="26">
        <f>VLOOKUP(Mapping!$D116,_90_1_2007,2,FALSE)</f>
        <v>0.7</v>
      </c>
      <c r="E57" s="26">
        <f>VLOOKUP(Mapping!$C116,_90_1_2010,2,FALSE)</f>
        <v>0.62</v>
      </c>
      <c r="F57" s="26">
        <f>VLOOKUP(Mapping!$C116,_90_1_2010,3,FALSE)</f>
        <v>6</v>
      </c>
      <c r="G57" s="134">
        <v>0.5</v>
      </c>
      <c r="H57" s="134">
        <f>VLOOKUP(Mapping!G116,_Plugs,13,FALSE)</f>
        <v>1.2488271893219809</v>
      </c>
      <c r="I57" s="134">
        <f>VLOOKUP(Mapping!$G116,_Plugs,14,FALSE)</f>
        <v>2</v>
      </c>
      <c r="J57" s="134">
        <f>VLOOKUP(Mapping!$G116,_Plugs,15,FALSE)</f>
        <v>0.762081784386617</v>
      </c>
      <c r="K57" s="134">
        <f>VLOOKUP(Mapping!$G116,_Plugs,16,FALSE)</f>
        <v>1</v>
      </c>
      <c r="L57" s="135">
        <v>100</v>
      </c>
      <c r="M57" s="135">
        <v>100</v>
      </c>
      <c r="N57" s="135">
        <v>250</v>
      </c>
      <c r="O57" s="135">
        <v>200</v>
      </c>
      <c r="P57" s="134">
        <v>0.15</v>
      </c>
      <c r="Q57" s="134">
        <v>0.15</v>
      </c>
      <c r="R57" s="135">
        <f>VLOOKUP(Mapping!$J116,_ACM05,6,FALSE)</f>
        <v>160</v>
      </c>
      <c r="S57" s="135">
        <f>VLOOKUP(Mapping!$I116,_ECB_CS,4,FALSE)</f>
        <v>300</v>
      </c>
      <c r="T57" s="134">
        <f>VLOOKUP(Mapping!$H116,_CEUS,2,FALSE)</f>
        <v>1.1301369863013697</v>
      </c>
      <c r="U57" s="134">
        <f>VLOOKUP(Mapping!$H116,_CEUS,3,FALSE)</f>
        <v>8.1050228310502279E-2</v>
      </c>
      <c r="V57" s="32" t="s">
        <v>51</v>
      </c>
      <c r="W57" s="32" t="s">
        <v>55</v>
      </c>
    </row>
    <row r="58" spans="1:23">
      <c r="A58" s="34" t="s">
        <v>638</v>
      </c>
      <c r="B58" s="27" t="s">
        <v>130</v>
      </c>
      <c r="C58" s="26" t="e">
        <f>VLOOKUP(Mapping!#REF!,_90_1_2001,2,FALSE)</f>
        <v>#REF!</v>
      </c>
      <c r="D58" s="26" t="e">
        <f>VLOOKUP(Mapping!#REF!,_90_1_2007,2,FALSE)</f>
        <v>#REF!</v>
      </c>
      <c r="E58" s="26" t="e">
        <f>VLOOKUP(Mapping!#REF!,_90_1_2010,2,FALSE)</f>
        <v>#REF!</v>
      </c>
      <c r="F58" s="26" t="e">
        <f>VLOOKUP(Mapping!#REF!,_90_1_2010,3,FALSE)</f>
        <v>#REF!</v>
      </c>
      <c r="G58" s="134">
        <v>1.5</v>
      </c>
      <c r="H58" s="134" t="e">
        <f>VLOOKUP(Mapping!#REF!,_Plugs,13,FALSE)</f>
        <v>#REF!</v>
      </c>
      <c r="I58" s="134" t="e">
        <f>VLOOKUP(Mapping!#REF!,_Plugs,14,FALSE)</f>
        <v>#REF!</v>
      </c>
      <c r="J58" s="134" t="e">
        <f>VLOOKUP(Mapping!#REF!,_Plugs,15,FALSE)</f>
        <v>#REF!</v>
      </c>
      <c r="K58" s="134" t="e">
        <f>VLOOKUP(Mapping!#REF!,_Plugs,16,FALSE)</f>
        <v>#REF!</v>
      </c>
      <c r="L58" s="135">
        <v>100</v>
      </c>
      <c r="M58" s="135">
        <v>100</v>
      </c>
      <c r="N58" s="135">
        <v>250</v>
      </c>
      <c r="O58" s="135">
        <v>200</v>
      </c>
      <c r="P58" s="134">
        <v>0.15</v>
      </c>
      <c r="Q58" s="134">
        <v>0.15</v>
      </c>
      <c r="R58" s="135" t="e">
        <f>VLOOKUP(Mapping!#REF!,_ACM05,6,FALSE)</f>
        <v>#REF!</v>
      </c>
      <c r="S58" s="135" t="e">
        <f>VLOOKUP(Mapping!#REF!,_ECB_CS,4,FALSE)</f>
        <v>#REF!</v>
      </c>
      <c r="T58" s="134" t="e">
        <f>VLOOKUP(Mapping!#REF!,_CEUS,2,FALSE)</f>
        <v>#REF!</v>
      </c>
      <c r="U58" s="134" t="e">
        <f>VLOOKUP(Mapping!#REF!,_CEUS,3,FALSE)</f>
        <v>#REF!</v>
      </c>
      <c r="V58" s="32" t="s">
        <v>51</v>
      </c>
      <c r="W58" s="32" t="s">
        <v>55</v>
      </c>
    </row>
    <row r="59" spans="1:23">
      <c r="A59" s="34" t="s">
        <v>638</v>
      </c>
      <c r="B59" s="27" t="s">
        <v>131</v>
      </c>
      <c r="C59" s="26">
        <f>VLOOKUP(Mapping!$E117,_90_1_2001,2,FALSE)</f>
        <v>1.9</v>
      </c>
      <c r="D59" s="26">
        <f>VLOOKUP(Mapping!$D117,_90_1_2007,2,FALSE)</f>
        <v>0.9</v>
      </c>
      <c r="E59" s="26">
        <f>VLOOKUP(Mapping!$C117,_90_1_2010,2,FALSE)</f>
        <v>0.91</v>
      </c>
      <c r="F59" s="26">
        <f>VLOOKUP(Mapping!$C117,_90_1_2010,3,FALSE)</f>
        <v>6</v>
      </c>
      <c r="G59" s="134">
        <v>1.5</v>
      </c>
      <c r="H59" s="134">
        <f>VLOOKUP(Mapping!G117,_Plugs,13,FALSE)</f>
        <v>1.2488271893219809</v>
      </c>
      <c r="I59" s="134">
        <f>VLOOKUP(Mapping!$G117,_Plugs,14,FALSE)</f>
        <v>2</v>
      </c>
      <c r="J59" s="134">
        <f>VLOOKUP(Mapping!$G117,_Plugs,15,FALSE)</f>
        <v>0.762081784386617</v>
      </c>
      <c r="K59" s="134">
        <f>VLOOKUP(Mapping!$G117,_Plugs,16,FALSE)</f>
        <v>1</v>
      </c>
      <c r="L59" s="135">
        <v>100</v>
      </c>
      <c r="M59" s="135">
        <v>100</v>
      </c>
      <c r="N59" s="135">
        <v>250</v>
      </c>
      <c r="O59" s="135">
        <v>200</v>
      </c>
      <c r="P59" s="134">
        <v>0.15</v>
      </c>
      <c r="Q59" s="134">
        <v>0.15</v>
      </c>
      <c r="R59" s="135">
        <f>VLOOKUP(Mapping!$J117,_ACM05,6,FALSE)</f>
        <v>160</v>
      </c>
      <c r="S59" s="135">
        <f>VLOOKUP(Mapping!$I117,_ECB_CS,4,FALSE)</f>
        <v>150</v>
      </c>
      <c r="T59" s="134">
        <f>VLOOKUP(Mapping!$H117,_CEUS,2,FALSE)</f>
        <v>1.1301369863013697</v>
      </c>
      <c r="U59" s="134">
        <f>VLOOKUP(Mapping!$H117,_CEUS,3,FALSE)</f>
        <v>8.1050228310502279E-2</v>
      </c>
      <c r="V59" s="32" t="s">
        <v>51</v>
      </c>
      <c r="W59" s="32" t="s">
        <v>55</v>
      </c>
    </row>
    <row r="60" spans="1:23">
      <c r="A60" s="34" t="s">
        <v>638</v>
      </c>
      <c r="B60" s="27" t="s">
        <v>132</v>
      </c>
      <c r="C60" s="26" t="e">
        <f>VLOOKUP(Mapping!#REF!,_90_1_2001,2,FALSE)</f>
        <v>#REF!</v>
      </c>
      <c r="D60" s="26" t="e">
        <f>VLOOKUP(Mapping!#REF!,_90_1_2007,2,FALSE)</f>
        <v>#REF!</v>
      </c>
      <c r="E60" s="26" t="e">
        <f>VLOOKUP(Mapping!#REF!,_90_1_2010,2,FALSE)</f>
        <v>#REF!</v>
      </c>
      <c r="F60" s="26" t="e">
        <f>VLOOKUP(Mapping!#REF!,_90_1_2010,3,FALSE)</f>
        <v>#REF!</v>
      </c>
      <c r="G60" s="134">
        <v>1.5</v>
      </c>
      <c r="H60" s="134" t="e">
        <f>VLOOKUP(Mapping!#REF!,_Plugs,13,FALSE)</f>
        <v>#REF!</v>
      </c>
      <c r="I60" s="134" t="e">
        <f>VLOOKUP(Mapping!#REF!,_Plugs,14,FALSE)</f>
        <v>#REF!</v>
      </c>
      <c r="J60" s="134" t="e">
        <f>VLOOKUP(Mapping!#REF!,_Plugs,15,FALSE)</f>
        <v>#REF!</v>
      </c>
      <c r="K60" s="134" t="e">
        <f>VLOOKUP(Mapping!#REF!,_Plugs,16,FALSE)</f>
        <v>#REF!</v>
      </c>
      <c r="L60" s="135">
        <v>100</v>
      </c>
      <c r="M60" s="135">
        <v>100</v>
      </c>
      <c r="N60" s="135">
        <v>250</v>
      </c>
      <c r="O60" s="135">
        <v>200</v>
      </c>
      <c r="P60" s="134">
        <v>0.15</v>
      </c>
      <c r="Q60" s="134">
        <v>0.15</v>
      </c>
      <c r="R60" s="135" t="e">
        <f>VLOOKUP(Mapping!#REF!,_ACM05,6,FALSE)</f>
        <v>#REF!</v>
      </c>
      <c r="S60" s="135" t="e">
        <f>VLOOKUP(Mapping!#REF!,_ECB_CS,4,FALSE)</f>
        <v>#REF!</v>
      </c>
      <c r="T60" s="134" t="e">
        <f>VLOOKUP(Mapping!#REF!,_CEUS,2,FALSE)</f>
        <v>#REF!</v>
      </c>
      <c r="U60" s="134" t="e">
        <f>VLOOKUP(Mapping!#REF!,_CEUS,3,FALSE)</f>
        <v>#REF!</v>
      </c>
      <c r="V60" s="32" t="s">
        <v>51</v>
      </c>
      <c r="W60" s="32" t="s">
        <v>55</v>
      </c>
    </row>
    <row r="61" spans="1:23">
      <c r="A61" s="34" t="s">
        <v>638</v>
      </c>
      <c r="B61" s="27" t="s">
        <v>133</v>
      </c>
      <c r="C61" s="26">
        <f>VLOOKUP(Mapping!$E118,_90_1_2001,2,FALSE)</f>
        <v>2.6</v>
      </c>
      <c r="D61" s="26">
        <f>VLOOKUP(Mapping!$D118,_90_1_2007,2,FALSE)</f>
        <v>0.8</v>
      </c>
      <c r="E61" s="26">
        <f>VLOOKUP(Mapping!$C118,_90_1_2010,2,FALSE)</f>
        <v>1.1499999999999999</v>
      </c>
      <c r="F61" s="26">
        <f>VLOOKUP(Mapping!$C118,_90_1_2010,3,FALSE)</f>
        <v>6</v>
      </c>
      <c r="G61" s="134">
        <v>1.5</v>
      </c>
      <c r="H61" s="134">
        <f>VLOOKUP(Mapping!G118,_Plugs,13,FALSE)</f>
        <v>1.2488271893219809</v>
      </c>
      <c r="I61" s="134">
        <f>VLOOKUP(Mapping!$G118,_Plugs,14,FALSE)</f>
        <v>2</v>
      </c>
      <c r="J61" s="134">
        <f>VLOOKUP(Mapping!$G118,_Plugs,15,FALSE)</f>
        <v>0.762081784386617</v>
      </c>
      <c r="K61" s="134">
        <f>VLOOKUP(Mapping!$G118,_Plugs,16,FALSE)</f>
        <v>1</v>
      </c>
      <c r="L61" s="135">
        <v>100</v>
      </c>
      <c r="M61" s="135">
        <v>100</v>
      </c>
      <c r="N61" s="135">
        <v>250</v>
      </c>
      <c r="O61" s="135">
        <v>200</v>
      </c>
      <c r="P61" s="134">
        <v>0.15</v>
      </c>
      <c r="Q61" s="134">
        <v>0.15</v>
      </c>
      <c r="R61" s="135">
        <f>VLOOKUP(Mapping!$J118,_ACM05,6,FALSE)</f>
        <v>160</v>
      </c>
      <c r="S61" s="135">
        <f>VLOOKUP(Mapping!$I118,_ECB_CS,4,FALSE)</f>
        <v>600</v>
      </c>
      <c r="T61" s="134">
        <f>VLOOKUP(Mapping!$H118,_CEUS,2,FALSE)</f>
        <v>1.1301369863013697</v>
      </c>
      <c r="U61" s="134">
        <f>VLOOKUP(Mapping!$H118,_CEUS,3,FALSE)</f>
        <v>8.1050228310502279E-2</v>
      </c>
      <c r="V61" s="32" t="s">
        <v>51</v>
      </c>
      <c r="W61" s="32" t="s">
        <v>55</v>
      </c>
    </row>
    <row r="62" spans="1:23">
      <c r="A62" s="34" t="s">
        <v>680</v>
      </c>
      <c r="B62" s="27" t="s">
        <v>139</v>
      </c>
      <c r="C62" s="26">
        <f>VLOOKUP(Mapping!$E76,_90_1_2001,2,FALSE)</f>
        <v>1.6</v>
      </c>
      <c r="D62" s="26">
        <f>VLOOKUP(Mapping!$D76,_90_1_2007,2,FALSE)</f>
        <v>1.4</v>
      </c>
      <c r="E62" s="26">
        <f>VLOOKUP(Mapping!$C76,_90_1_2010,2,FALSE)</f>
        <v>1.28</v>
      </c>
      <c r="F62" s="26">
        <f>VLOOKUP(Mapping!$C76,_90_1_2010,3,FALSE)</f>
        <v>6</v>
      </c>
      <c r="G62" s="134">
        <v>1</v>
      </c>
      <c r="H62" s="134">
        <f>VLOOKUP(Mapping!G76,_Plugs,13,FALSE)</f>
        <v>3.341539942209327</v>
      </c>
      <c r="I62" s="134">
        <f>VLOOKUP(Mapping!$G76,_Plugs,14,FALSE)</f>
        <v>2</v>
      </c>
      <c r="J62" s="134">
        <f>VLOOKUP(Mapping!$G76,_Plugs,15,FALSE)</f>
        <v>2.7881040892193307</v>
      </c>
      <c r="K62" s="134">
        <f>VLOOKUP(Mapping!$G76,_Plugs,16,FALSE)</f>
        <v>1</v>
      </c>
      <c r="L62" s="135">
        <v>100</v>
      </c>
      <c r="M62" s="135">
        <v>100</v>
      </c>
      <c r="N62" s="135">
        <v>250</v>
      </c>
      <c r="O62" s="135">
        <v>200</v>
      </c>
      <c r="P62" s="134">
        <v>0.15</v>
      </c>
      <c r="Q62" s="134">
        <v>0.15</v>
      </c>
      <c r="R62" s="135">
        <f>VLOOKUP(Mapping!$J76,_ACM05,6,FALSE)</f>
        <v>120</v>
      </c>
      <c r="S62" s="135">
        <f>VLOOKUP(Mapping!$I76,_ECB_CS,4,FALSE)</f>
        <v>215</v>
      </c>
      <c r="T62" s="134">
        <f>VLOOKUP(Mapping!$H76,_CEUS,2,FALSE)</f>
        <v>0.29680365296803651</v>
      </c>
      <c r="U62" s="134">
        <f>VLOOKUP(Mapping!$H76,_CEUS,3,FALSE)</f>
        <v>5.2511415525114152E-2</v>
      </c>
      <c r="V62" s="32" t="s">
        <v>47</v>
      </c>
      <c r="W62" s="32" t="s">
        <v>48</v>
      </c>
    </row>
    <row r="63" spans="1:23">
      <c r="A63" s="34" t="s">
        <v>680</v>
      </c>
      <c r="B63" s="27" t="s">
        <v>140</v>
      </c>
      <c r="C63" s="26">
        <f>VLOOKUP(Mapping!$E77,_90_1_2001,2,FALSE)</f>
        <v>1.8</v>
      </c>
      <c r="D63" s="26">
        <f>VLOOKUP(Mapping!$D77,_90_1_2007,2,FALSE)</f>
        <v>1.4</v>
      </c>
      <c r="E63" s="26">
        <f>VLOOKUP(Mapping!$C77,_90_1_2010,2,FALSE)</f>
        <v>1.81</v>
      </c>
      <c r="F63" s="26">
        <f>VLOOKUP(Mapping!$C77,_90_1_2010,3,FALSE)</f>
        <v>6</v>
      </c>
      <c r="G63" s="134">
        <v>1</v>
      </c>
      <c r="H63" s="134">
        <f>VLOOKUP(Mapping!G77,_Plugs,13,FALSE)</f>
        <v>3.341539942209327</v>
      </c>
      <c r="I63" s="134">
        <f>VLOOKUP(Mapping!$G77,_Plugs,14,FALSE)</f>
        <v>2</v>
      </c>
      <c r="J63" s="134">
        <f>VLOOKUP(Mapping!$G77,_Plugs,15,FALSE)</f>
        <v>2.7881040892193307</v>
      </c>
      <c r="K63" s="134">
        <f>VLOOKUP(Mapping!$G77,_Plugs,16,FALSE)</f>
        <v>1</v>
      </c>
      <c r="L63" s="135">
        <v>100</v>
      </c>
      <c r="M63" s="135">
        <v>100</v>
      </c>
      <c r="N63" s="135">
        <v>250</v>
      </c>
      <c r="O63" s="135">
        <v>200</v>
      </c>
      <c r="P63" s="134">
        <v>0.15</v>
      </c>
      <c r="Q63" s="134">
        <v>0.15</v>
      </c>
      <c r="R63" s="135">
        <f>VLOOKUP(Mapping!$J77,_ACM05,6,FALSE)</f>
        <v>120</v>
      </c>
      <c r="S63" s="135">
        <f>VLOOKUP(Mapping!$I77,_ECB_CS,4,FALSE)</f>
        <v>600</v>
      </c>
      <c r="T63" s="134" t="str">
        <f>VLOOKUP(Mapping!$H77,_CEUS,2,FALSE)</f>
        <v>n.a.</v>
      </c>
      <c r="U63" s="134" t="str">
        <f>VLOOKUP(Mapping!$H77,_CEUS,3,FALSE)</f>
        <v>n.a.</v>
      </c>
      <c r="V63" s="32" t="s">
        <v>47</v>
      </c>
      <c r="W63" s="32" t="s">
        <v>48</v>
      </c>
    </row>
    <row r="64" spans="1:23">
      <c r="A64" s="34" t="s">
        <v>491</v>
      </c>
      <c r="B64" s="27" t="s">
        <v>108</v>
      </c>
      <c r="C64" s="26">
        <f>VLOOKUP(Mapping!$E106,_90_1_2001,2,FALSE)</f>
        <v>1.9</v>
      </c>
      <c r="D64" s="26">
        <f>VLOOKUP(Mapping!$D106,_90_1_2007,2,FALSE)</f>
        <v>1.1000000000000001</v>
      </c>
      <c r="E64" s="26">
        <f>VLOOKUP(Mapping!$C106,_90_1_2010,2,FALSE)</f>
        <v>0.38</v>
      </c>
      <c r="F64" s="26">
        <f>VLOOKUP(Mapping!$C106,_90_1_2010,3,FALSE)</f>
        <v>8</v>
      </c>
      <c r="G64" s="134">
        <v>0.5</v>
      </c>
      <c r="H64" s="134">
        <f>VLOOKUP(Mapping!G106,_Plugs,13,FALSE)</f>
        <v>1.9561272315249876</v>
      </c>
      <c r="I64" s="134">
        <f>VLOOKUP(Mapping!$G106,_Plugs,14,FALSE)</f>
        <v>2</v>
      </c>
      <c r="J64" s="134">
        <f>VLOOKUP(Mapping!$G106,_Plugs,15,FALSE)</f>
        <v>0.29739776951672864</v>
      </c>
      <c r="K64" s="134">
        <f>VLOOKUP(Mapping!$G106,_Plugs,16,FALSE)</f>
        <v>1</v>
      </c>
      <c r="L64" s="135">
        <v>100</v>
      </c>
      <c r="M64" s="135">
        <v>150</v>
      </c>
      <c r="N64" s="135">
        <v>250</v>
      </c>
      <c r="O64" s="135">
        <v>250</v>
      </c>
      <c r="P64" s="134">
        <v>0.15</v>
      </c>
      <c r="Q64" s="134">
        <v>0.15</v>
      </c>
      <c r="R64" s="135">
        <f>VLOOKUP(Mapping!$J106,_ACM05,6,FALSE)</f>
        <v>120</v>
      </c>
      <c r="S64" s="135">
        <f>VLOOKUP(Mapping!$I106,_ECB_CS,4,FALSE)</f>
        <v>1700</v>
      </c>
      <c r="T64" s="134">
        <f>VLOOKUP(Mapping!$H106,_CEUS,2,FALSE)</f>
        <v>0.69634703196347048</v>
      </c>
      <c r="U64" s="134">
        <f>VLOOKUP(Mapping!$H106,_CEUS,3,FALSE)</f>
        <v>0.10273972602739725</v>
      </c>
      <c r="V64" s="32" t="s">
        <v>47</v>
      </c>
      <c r="W64" s="32" t="s">
        <v>48</v>
      </c>
    </row>
    <row r="65" spans="1:23">
      <c r="A65" s="34" t="s">
        <v>515</v>
      </c>
      <c r="B65" s="27" t="s">
        <v>135</v>
      </c>
      <c r="C65" s="26">
        <f>VLOOKUP(Mapping!$E74,_90_1_2001,2,FALSE)</f>
        <v>2.5</v>
      </c>
      <c r="D65" s="26">
        <f>VLOOKUP(Mapping!$D74,_90_1_2007,2,FALSE)</f>
        <v>1.1000000000000001</v>
      </c>
      <c r="E65" s="26">
        <f>VLOOKUP(Mapping!$C74,_90_1_2010,2,FALSE)</f>
        <v>1.1100000000000001</v>
      </c>
      <c r="F65" s="26">
        <f>VLOOKUP(Mapping!$C74,_90_1_2010,3,FALSE)</f>
        <v>6</v>
      </c>
      <c r="G65" s="134">
        <v>0.5</v>
      </c>
      <c r="H65" s="134">
        <f>VLOOKUP(Mapping!G74,_Plugs,13,FALSE)</f>
        <v>1.5641288213559472</v>
      </c>
      <c r="I65" s="134">
        <f>VLOOKUP(Mapping!$G74,_Plugs,14,FALSE)</f>
        <v>2</v>
      </c>
      <c r="J65" s="134">
        <f>VLOOKUP(Mapping!$G74,_Plugs,15,FALSE)</f>
        <v>0.29739776951672864</v>
      </c>
      <c r="K65" s="134">
        <f>VLOOKUP(Mapping!$G74,_Plugs,16,FALSE)</f>
        <v>1</v>
      </c>
      <c r="L65" s="135">
        <v>200</v>
      </c>
      <c r="M65" s="135">
        <v>200</v>
      </c>
      <c r="N65" s="135">
        <v>245</v>
      </c>
      <c r="O65" s="135">
        <v>155</v>
      </c>
      <c r="P65" s="134">
        <v>0.15</v>
      </c>
      <c r="Q65" s="134">
        <v>0.15</v>
      </c>
      <c r="R65" s="135">
        <f>VLOOKUP(Mapping!$J74,_ACM05,6,FALSE)</f>
        <v>2800</v>
      </c>
      <c r="S65" s="135">
        <f>VLOOKUP(Mapping!$I74,_ECB_CS,4,FALSE)</f>
        <v>2000</v>
      </c>
      <c r="T65" s="134">
        <f>VLOOKUP(Mapping!$H74,_CEUS,2,FALSE)</f>
        <v>0.69634703196347048</v>
      </c>
      <c r="U65" s="134">
        <f>VLOOKUP(Mapping!$H74,_CEUS,3,FALSE)</f>
        <v>0.10273972602739725</v>
      </c>
      <c r="V65" s="32" t="s">
        <v>47</v>
      </c>
      <c r="W65" s="32" t="s">
        <v>48</v>
      </c>
    </row>
    <row r="66" spans="1:23">
      <c r="A66" s="34" t="s">
        <v>1258</v>
      </c>
      <c r="B66" s="27" t="s">
        <v>138</v>
      </c>
      <c r="C66" s="26" t="e">
        <f>VLOOKUP(Mapping!#REF!,_90_1_2001,2,FALSE)</f>
        <v>#REF!</v>
      </c>
      <c r="D66" s="26" t="e">
        <f>VLOOKUP(Mapping!#REF!,_90_1_2007,2,FALSE)</f>
        <v>#REF!</v>
      </c>
      <c r="E66" s="26" t="e">
        <f>VLOOKUP(Mapping!#REF!,_90_1_2010,2,FALSE)</f>
        <v>#REF!</v>
      </c>
      <c r="F66" s="26" t="e">
        <f>VLOOKUP(Mapping!#REF!,_90_1_2010,3,FALSE)</f>
        <v>#REF!</v>
      </c>
      <c r="G66" s="134">
        <v>0.5</v>
      </c>
      <c r="H66" s="134" t="e">
        <f>VLOOKUP(Mapping!#REF!,_Plugs,13,FALSE)</f>
        <v>#REF!</v>
      </c>
      <c r="I66" s="134" t="e">
        <f>VLOOKUP(Mapping!#REF!,_Plugs,14,FALSE)</f>
        <v>#REF!</v>
      </c>
      <c r="J66" s="134" t="e">
        <f>VLOOKUP(Mapping!#REF!,_Plugs,15,FALSE)</f>
        <v>#REF!</v>
      </c>
      <c r="K66" s="134" t="e">
        <f>VLOOKUP(Mapping!#REF!,_Plugs,16,FALSE)</f>
        <v>#REF!</v>
      </c>
      <c r="L66" s="135">
        <v>200</v>
      </c>
      <c r="M66" s="135">
        <v>200</v>
      </c>
      <c r="N66" s="135">
        <v>245</v>
      </c>
      <c r="O66" s="135">
        <v>155</v>
      </c>
      <c r="P66" s="134">
        <v>0.15</v>
      </c>
      <c r="Q66" s="134">
        <v>0.15</v>
      </c>
      <c r="R66" s="135" t="e">
        <f>VLOOKUP(Mapping!#REF!,_ACM05,6,FALSE)</f>
        <v>#REF!</v>
      </c>
      <c r="S66" s="135" t="e">
        <f>VLOOKUP(Mapping!#REF!,_ECB_CS,4,FALSE)</f>
        <v>#REF!</v>
      </c>
      <c r="T66" s="134" t="e">
        <f>VLOOKUP(Mapping!#REF!,_CEUS,2,FALSE)</f>
        <v>#REF!</v>
      </c>
      <c r="U66" s="134" t="e">
        <f>VLOOKUP(Mapping!#REF!,_CEUS,3,FALSE)</f>
        <v>#REF!</v>
      </c>
      <c r="V66" s="32" t="s">
        <v>51</v>
      </c>
      <c r="W66" s="32" t="s">
        <v>48</v>
      </c>
    </row>
    <row r="67" spans="1:23">
      <c r="A67" s="34" t="s">
        <v>520</v>
      </c>
      <c r="B67" s="27" t="s">
        <v>152</v>
      </c>
      <c r="C67" s="26">
        <f>VLOOKUP(Mapping!$E61,_90_1_2001,2,FALSE)</f>
        <v>0.5</v>
      </c>
      <c r="D67" s="26">
        <f>VLOOKUP(Mapping!$D61,_90_1_2007,2,FALSE)</f>
        <v>0.5</v>
      </c>
      <c r="E67" s="26">
        <f>VLOOKUP(Mapping!$C61,_90_1_2010,2,FALSE)</f>
        <v>0.41</v>
      </c>
      <c r="F67" s="26" t="str">
        <f>VLOOKUP(Mapping!$C61,_90_1_2010,3,FALSE)</f>
        <v xml:space="preserve"> Width &lt; 8 ft  </v>
      </c>
      <c r="G67" s="134">
        <v>0.2</v>
      </c>
      <c r="H67" s="134">
        <f>VLOOKUP(Mapping!G61,_Plugs,13,FALSE)</f>
        <v>0.34481488715257669</v>
      </c>
      <c r="I67" s="134">
        <f>VLOOKUP(Mapping!$G61,_Plugs,14,FALSE)</f>
        <v>2</v>
      </c>
      <c r="J67" s="134">
        <f>VLOOKUP(Mapping!$G61,_Plugs,15,FALSE)</f>
        <v>0.18587360594795541</v>
      </c>
      <c r="K67" s="134">
        <f>VLOOKUP(Mapping!$G61,_Plugs,16,FALSE)</f>
        <v>1</v>
      </c>
      <c r="L67" s="135">
        <v>100</v>
      </c>
      <c r="M67" s="135">
        <v>200</v>
      </c>
      <c r="N67" s="135">
        <v>250</v>
      </c>
      <c r="O67" s="135">
        <v>250</v>
      </c>
      <c r="P67" s="134">
        <v>0.15</v>
      </c>
      <c r="Q67" s="134">
        <v>0.15</v>
      </c>
      <c r="R67" s="135">
        <f>VLOOKUP(Mapping!$J61,_ACM05,6,FALSE)</f>
        <v>0</v>
      </c>
      <c r="S67" s="135">
        <f>VLOOKUP(Mapping!$I61,_ECB_CS,4,FALSE)</f>
        <v>0</v>
      </c>
      <c r="T67" s="134">
        <f>VLOOKUP(Mapping!$H61,_CEUS,2,FALSE)</f>
        <v>2.2831050228310501E-2</v>
      </c>
      <c r="U67" s="134">
        <f>VLOOKUP(Mapping!$H61,_CEUS,3,FALSE)</f>
        <v>6.6210045662100453E-2</v>
      </c>
      <c r="V67" s="32" t="s">
        <v>51</v>
      </c>
      <c r="W67" s="32" t="s">
        <v>36</v>
      </c>
    </row>
    <row r="68" spans="1:23">
      <c r="A68" s="34" t="s">
        <v>520</v>
      </c>
      <c r="B68" s="27" t="s">
        <v>153</v>
      </c>
      <c r="C68" s="26">
        <f>VLOOKUP(Mapping!$E121,_90_1_2001,2,FALSE)</f>
        <v>6.2</v>
      </c>
      <c r="D68" s="26">
        <f>VLOOKUP(Mapping!$D121,_90_1_2007,2,FALSE)</f>
        <v>2.1</v>
      </c>
      <c r="E68" s="26">
        <f>VLOOKUP(Mapping!$C121,_90_1_2010,2,FALSE)</f>
        <v>1.29</v>
      </c>
      <c r="F68" s="26">
        <f>VLOOKUP(Mapping!$C121,_90_1_2010,3,FALSE)</f>
        <v>4</v>
      </c>
      <c r="G68" s="134">
        <v>1</v>
      </c>
      <c r="H68" s="134">
        <f>VLOOKUP(Mapping!G121,_Plugs,13,FALSE)</f>
        <v>0.34481488715257669</v>
      </c>
      <c r="I68" s="134">
        <f>VLOOKUP(Mapping!$G121,_Plugs,14,FALSE)</f>
        <v>2</v>
      </c>
      <c r="J68" s="134">
        <f>VLOOKUP(Mapping!$G121,_Plugs,15,FALSE)</f>
        <v>0.18587360594795541</v>
      </c>
      <c r="K68" s="134">
        <f>VLOOKUP(Mapping!$G121,_Plugs,16,FALSE)</f>
        <v>1</v>
      </c>
      <c r="L68" s="135">
        <v>100</v>
      </c>
      <c r="M68" s="135">
        <v>200</v>
      </c>
      <c r="N68" s="135">
        <v>250</v>
      </c>
      <c r="O68" s="135">
        <v>200</v>
      </c>
      <c r="P68" s="134">
        <v>0.15</v>
      </c>
      <c r="Q68" s="134">
        <v>0.15</v>
      </c>
      <c r="R68" s="135">
        <f>VLOOKUP(Mapping!$J121,_ACM05,6,FALSE)</f>
        <v>120</v>
      </c>
      <c r="S68" s="135">
        <f>VLOOKUP(Mapping!$I121,_ECB_CS,4,FALSE)</f>
        <v>175</v>
      </c>
      <c r="T68" s="134">
        <f>VLOOKUP(Mapping!$H121,_CEUS,2,FALSE)</f>
        <v>0.75342465753424659</v>
      </c>
      <c r="U68" s="134">
        <f>VLOOKUP(Mapping!$H121,_CEUS,3,FALSE)</f>
        <v>9.8173515981735154E-2</v>
      </c>
      <c r="V68" s="32" t="s">
        <v>51</v>
      </c>
      <c r="W68" s="32" t="s">
        <v>36</v>
      </c>
    </row>
    <row r="69" spans="1:23">
      <c r="A69" s="34" t="s">
        <v>520</v>
      </c>
      <c r="B69" s="27" t="s">
        <v>154</v>
      </c>
      <c r="C69" s="26">
        <f>VLOOKUP(Mapping!$E122,_90_1_2001,2,FALSE)</f>
        <v>0.8</v>
      </c>
      <c r="D69" s="26">
        <f>VLOOKUP(Mapping!$D122,_90_1_2007,2,FALSE)</f>
        <v>1.2</v>
      </c>
      <c r="E69" s="26">
        <f>VLOOKUP(Mapping!$C122,_90_1_2010,2,FALSE)</f>
        <v>0.95</v>
      </c>
      <c r="F69" s="26">
        <f>VLOOKUP(Mapping!$C122,_90_1_2010,3,FALSE)</f>
        <v>6</v>
      </c>
      <c r="G69" s="134">
        <v>0.2</v>
      </c>
      <c r="H69" s="134">
        <f>VLOOKUP(Mapping!G122,_Plugs,13,FALSE)</f>
        <v>0.34481488715257669</v>
      </c>
      <c r="I69" s="134">
        <f>VLOOKUP(Mapping!$G122,_Plugs,14,FALSE)</f>
        <v>2</v>
      </c>
      <c r="J69" s="134">
        <f>VLOOKUP(Mapping!$G122,_Plugs,15,FALSE)</f>
        <v>0.18587360594795541</v>
      </c>
      <c r="K69" s="134">
        <f>VLOOKUP(Mapping!$G122,_Plugs,16,FALSE)</f>
        <v>1</v>
      </c>
      <c r="L69" s="135">
        <v>333</v>
      </c>
      <c r="M69" s="135">
        <v>750</v>
      </c>
      <c r="N69" s="135">
        <v>250</v>
      </c>
      <c r="O69" s="135">
        <v>250</v>
      </c>
      <c r="P69" s="134">
        <v>0.15</v>
      </c>
      <c r="Q69" s="134">
        <v>0.15</v>
      </c>
      <c r="R69" s="135">
        <f>VLOOKUP(Mapping!$J122,_ACM05,6,FALSE)</f>
        <v>120</v>
      </c>
      <c r="S69" s="135">
        <f>VLOOKUP(Mapping!$I122,_ECB_CS,4,FALSE)</f>
        <v>1000</v>
      </c>
      <c r="T69" s="134">
        <f>VLOOKUP(Mapping!$H122,_CEUS,2,FALSE)</f>
        <v>0.75342465753424659</v>
      </c>
      <c r="U69" s="134">
        <f>VLOOKUP(Mapping!$H122,_CEUS,3,FALSE)</f>
        <v>9.8173515981735154E-2</v>
      </c>
      <c r="V69" s="32" t="s">
        <v>51</v>
      </c>
      <c r="W69" s="32" t="s">
        <v>36</v>
      </c>
    </row>
    <row r="70" spans="1:23">
      <c r="A70" s="34" t="s">
        <v>520</v>
      </c>
      <c r="B70" s="27" t="s">
        <v>155</v>
      </c>
      <c r="C70" s="26">
        <f>VLOOKUP(Mapping!$E123,_90_1_2001,2,FALSE)</f>
        <v>3</v>
      </c>
      <c r="D70" s="26">
        <f>VLOOKUP(Mapping!$D123,_90_1_2007,2,FALSE)</f>
        <v>1.7</v>
      </c>
      <c r="E70" s="26">
        <f>VLOOKUP(Mapping!$C123,_90_1_2010,2,FALSE)</f>
        <v>1.05</v>
      </c>
      <c r="F70" s="26">
        <f>VLOOKUP(Mapping!$C123,_90_1_2010,3,FALSE)</f>
        <v>4</v>
      </c>
      <c r="G70" s="134">
        <v>1</v>
      </c>
      <c r="H70" s="134">
        <f>VLOOKUP(Mapping!G123,_Plugs,13,FALSE)</f>
        <v>0.34481488715257669</v>
      </c>
      <c r="I70" s="134">
        <f>VLOOKUP(Mapping!$G123,_Plugs,14,FALSE)</f>
        <v>2</v>
      </c>
      <c r="J70" s="134">
        <f>VLOOKUP(Mapping!$G123,_Plugs,15,FALSE)</f>
        <v>0.18587360594795541</v>
      </c>
      <c r="K70" s="134">
        <f>VLOOKUP(Mapping!$G123,_Plugs,16,FALSE)</f>
        <v>1</v>
      </c>
      <c r="L70" s="135">
        <v>100</v>
      </c>
      <c r="M70" s="135">
        <v>200</v>
      </c>
      <c r="N70" s="135">
        <v>275</v>
      </c>
      <c r="O70" s="135">
        <v>475</v>
      </c>
      <c r="P70" s="134">
        <v>0.15</v>
      </c>
      <c r="Q70" s="134">
        <v>0.15</v>
      </c>
      <c r="R70" s="135">
        <f>VLOOKUP(Mapping!$J123,_ACM05,6,FALSE)</f>
        <v>120</v>
      </c>
      <c r="S70" s="135">
        <f>VLOOKUP(Mapping!$I123,_ECB_CS,4,FALSE)</f>
        <v>175</v>
      </c>
      <c r="T70" s="134">
        <f>VLOOKUP(Mapping!$H123,_CEUS,2,FALSE)</f>
        <v>0.75342465753424659</v>
      </c>
      <c r="U70" s="134">
        <f>VLOOKUP(Mapping!$H123,_CEUS,3,FALSE)</f>
        <v>9.8173515981735154E-2</v>
      </c>
      <c r="V70" s="32" t="s">
        <v>51</v>
      </c>
      <c r="W70" s="32" t="s">
        <v>36</v>
      </c>
    </row>
    <row r="71" spans="1:23">
      <c r="A71" s="34" t="s">
        <v>520</v>
      </c>
      <c r="B71" s="27" t="s">
        <v>156</v>
      </c>
      <c r="C71" s="26">
        <f>VLOOKUP(Mapping!$E124,_90_1_2001,2,FALSE)</f>
        <v>3</v>
      </c>
      <c r="D71" s="26">
        <f>VLOOKUP(Mapping!$D124,_90_1_2007,2,FALSE)</f>
        <v>1.7</v>
      </c>
      <c r="E71" s="26">
        <f>VLOOKUP(Mapping!$C124,_90_1_2010,2,FALSE)</f>
        <v>1.23</v>
      </c>
      <c r="F71" s="26">
        <f>VLOOKUP(Mapping!$C124,_90_1_2010,3,FALSE)</f>
        <v>4</v>
      </c>
      <c r="G71" s="134">
        <v>1</v>
      </c>
      <c r="H71" s="134">
        <f>VLOOKUP(Mapping!G124,_Plugs,13,FALSE)</f>
        <v>0.34481488715257669</v>
      </c>
      <c r="I71" s="134">
        <f>VLOOKUP(Mapping!$G124,_Plugs,14,FALSE)</f>
        <v>2</v>
      </c>
      <c r="J71" s="134">
        <f>VLOOKUP(Mapping!$G124,_Plugs,15,FALSE)</f>
        <v>0.18587360594795541</v>
      </c>
      <c r="K71" s="134">
        <f>VLOOKUP(Mapping!$G124,_Plugs,16,FALSE)</f>
        <v>1</v>
      </c>
      <c r="L71" s="135">
        <v>100</v>
      </c>
      <c r="M71" s="135">
        <v>200</v>
      </c>
      <c r="N71" s="135">
        <v>275</v>
      </c>
      <c r="O71" s="135">
        <v>475</v>
      </c>
      <c r="P71" s="134">
        <v>0.15</v>
      </c>
      <c r="Q71" s="134">
        <v>0.15</v>
      </c>
      <c r="R71" s="135">
        <f>VLOOKUP(Mapping!$J124,_ACM05,6,FALSE)</f>
        <v>120</v>
      </c>
      <c r="S71" s="135">
        <f>VLOOKUP(Mapping!$I124,_ECB_CS,4,FALSE)</f>
        <v>175</v>
      </c>
      <c r="T71" s="134">
        <f>VLOOKUP(Mapping!$H124,_CEUS,2,FALSE)</f>
        <v>0.75342465753424659</v>
      </c>
      <c r="U71" s="134">
        <f>VLOOKUP(Mapping!$H124,_CEUS,3,FALSE)</f>
        <v>9.8173515981735154E-2</v>
      </c>
      <c r="V71" s="32" t="s">
        <v>51</v>
      </c>
      <c r="W71" s="32" t="s">
        <v>36</v>
      </c>
    </row>
    <row r="72" spans="1:23">
      <c r="A72" s="34" t="s">
        <v>520</v>
      </c>
      <c r="B72" s="27" t="s">
        <v>157</v>
      </c>
      <c r="C72" s="26">
        <f>VLOOKUP(Mapping!$E125,_90_1_2001,2,FALSE)</f>
        <v>2.1</v>
      </c>
      <c r="D72" s="26">
        <f>VLOOKUP(Mapping!$D125,_90_1_2007,2,FALSE)</f>
        <v>1.2</v>
      </c>
      <c r="E72" s="26">
        <f>VLOOKUP(Mapping!$C125,_90_1_2010,2,FALSE)</f>
        <v>1.19</v>
      </c>
      <c r="F72" s="26">
        <f>VLOOKUP(Mapping!$C125,_90_1_2010,3,FALSE)</f>
        <v>4</v>
      </c>
      <c r="G72" s="134">
        <v>1</v>
      </c>
      <c r="H72" s="134">
        <f>VLOOKUP(Mapping!G125,_Plugs,13,FALSE)</f>
        <v>0.34481488715257669</v>
      </c>
      <c r="I72" s="134">
        <f>VLOOKUP(Mapping!$G125,_Plugs,14,FALSE)</f>
        <v>2</v>
      </c>
      <c r="J72" s="134">
        <f>VLOOKUP(Mapping!$G125,_Plugs,15,FALSE)</f>
        <v>0.18587360594795541</v>
      </c>
      <c r="K72" s="134">
        <f>VLOOKUP(Mapping!$G125,_Plugs,16,FALSE)</f>
        <v>1</v>
      </c>
      <c r="L72" s="135">
        <v>100</v>
      </c>
      <c r="M72" s="135">
        <v>200</v>
      </c>
      <c r="N72" s="135">
        <v>275</v>
      </c>
      <c r="O72" s="135">
        <v>475</v>
      </c>
      <c r="P72" s="134">
        <v>0.15</v>
      </c>
      <c r="Q72" s="134">
        <v>0.15</v>
      </c>
      <c r="R72" s="135">
        <f>VLOOKUP(Mapping!$J125,_ACM05,6,FALSE)</f>
        <v>120</v>
      </c>
      <c r="S72" s="135">
        <f>VLOOKUP(Mapping!$I125,_ECB_CS,4,FALSE)</f>
        <v>175</v>
      </c>
      <c r="T72" s="134">
        <f>VLOOKUP(Mapping!$H125,_CEUS,2,FALSE)</f>
        <v>0.75342465753424659</v>
      </c>
      <c r="U72" s="134">
        <f>VLOOKUP(Mapping!$H125,_CEUS,3,FALSE)</f>
        <v>9.8173515981735154E-2</v>
      </c>
      <c r="V72" s="32" t="s">
        <v>51</v>
      </c>
      <c r="W72" s="32" t="s">
        <v>36</v>
      </c>
    </row>
    <row r="73" spans="1:23">
      <c r="A73" s="34" t="s">
        <v>749</v>
      </c>
      <c r="B73" s="27" t="s">
        <v>160</v>
      </c>
      <c r="C73" s="26" t="e">
        <f>VLOOKUP(Mapping!#REF!,_90_1_2001,2,FALSE)</f>
        <v>#REF!</v>
      </c>
      <c r="D73" s="26" t="e">
        <f>VLOOKUP(Mapping!#REF!,_90_1_2007,2,FALSE)</f>
        <v>#REF!</v>
      </c>
      <c r="E73" s="26" t="e">
        <f>VLOOKUP(Mapping!#REF!,_90_1_2010,2,FALSE)</f>
        <v>#REF!</v>
      </c>
      <c r="F73" s="26" t="e">
        <f>VLOOKUP(Mapping!#REF!,_90_1_2010,3,FALSE)</f>
        <v>#REF!</v>
      </c>
      <c r="G73" s="134">
        <v>0.2</v>
      </c>
      <c r="H73" s="134" t="e">
        <f>VLOOKUP(Mapping!#REF!,_Plugs,13,FALSE)</f>
        <v>#REF!</v>
      </c>
      <c r="I73" s="134" t="e">
        <f>VLOOKUP(Mapping!#REF!,_Plugs,14,FALSE)</f>
        <v>#REF!</v>
      </c>
      <c r="J73" s="134" t="e">
        <f>VLOOKUP(Mapping!#REF!,_Plugs,15,FALSE)</f>
        <v>#REF!</v>
      </c>
      <c r="K73" s="134" t="e">
        <f>VLOOKUP(Mapping!#REF!,_Plugs,16,FALSE)</f>
        <v>#REF!</v>
      </c>
      <c r="L73" s="135">
        <v>333</v>
      </c>
      <c r="M73" s="135">
        <v>333</v>
      </c>
      <c r="N73" s="135">
        <v>275</v>
      </c>
      <c r="O73" s="135">
        <v>475</v>
      </c>
      <c r="P73" s="134">
        <v>0.15</v>
      </c>
      <c r="Q73" s="134">
        <v>0.15</v>
      </c>
      <c r="R73" s="135" t="e">
        <f>VLOOKUP(Mapping!#REF!,_ACM05,6,FALSE)</f>
        <v>#REF!</v>
      </c>
      <c r="S73" s="135" t="e">
        <f>VLOOKUP(Mapping!#REF!,_ECB_CS,4,FALSE)</f>
        <v>#REF!</v>
      </c>
      <c r="T73" s="134" t="e">
        <f>VLOOKUP(Mapping!#REF!,_CEUS,2,FALSE)</f>
        <v>#REF!</v>
      </c>
      <c r="U73" s="134" t="e">
        <f>VLOOKUP(Mapping!#REF!,_CEUS,3,FALSE)</f>
        <v>#REF!</v>
      </c>
      <c r="V73" s="32" t="s">
        <v>51</v>
      </c>
      <c r="W73" s="32" t="s">
        <v>83</v>
      </c>
    </row>
    <row r="74" spans="1:23">
      <c r="A74" s="34" t="s">
        <v>749</v>
      </c>
      <c r="B74" s="27" t="s">
        <v>161</v>
      </c>
      <c r="C74" s="26" t="e">
        <f>VLOOKUP(Mapping!#REF!,_90_1_2001,2,FALSE)</f>
        <v>#REF!</v>
      </c>
      <c r="D74" s="26" t="e">
        <f>VLOOKUP(Mapping!#REF!,_90_1_2007,2,FALSE)</f>
        <v>#REF!</v>
      </c>
      <c r="E74" s="26" t="e">
        <f>VLOOKUP(Mapping!#REF!,_90_1_2010,2,FALSE)</f>
        <v>#REF!</v>
      </c>
      <c r="F74" s="26" t="e">
        <f>VLOOKUP(Mapping!#REF!,_90_1_2010,3,FALSE)</f>
        <v>#REF!</v>
      </c>
      <c r="G74" s="134">
        <v>0.2</v>
      </c>
      <c r="H74" s="134" t="e">
        <f>VLOOKUP(Mapping!#REF!,_Plugs,13,FALSE)</f>
        <v>#REF!</v>
      </c>
      <c r="I74" s="134" t="e">
        <f>VLOOKUP(Mapping!#REF!,_Plugs,14,FALSE)</f>
        <v>#REF!</v>
      </c>
      <c r="J74" s="134" t="e">
        <f>VLOOKUP(Mapping!#REF!,_Plugs,15,FALSE)</f>
        <v>#REF!</v>
      </c>
      <c r="K74" s="134" t="e">
        <f>VLOOKUP(Mapping!#REF!,_Plugs,16,FALSE)</f>
        <v>#REF!</v>
      </c>
      <c r="L74" s="135">
        <v>333</v>
      </c>
      <c r="M74" s="135">
        <v>333</v>
      </c>
      <c r="N74" s="135">
        <v>275</v>
      </c>
      <c r="O74" s="135">
        <v>475</v>
      </c>
      <c r="P74" s="134">
        <v>0.15</v>
      </c>
      <c r="Q74" s="134">
        <v>0.15</v>
      </c>
      <c r="R74" s="135" t="e">
        <f>VLOOKUP(Mapping!#REF!,_ACM05,6,FALSE)</f>
        <v>#REF!</v>
      </c>
      <c r="S74" s="135" t="e">
        <f>VLOOKUP(Mapping!#REF!,_ECB_CS,4,FALSE)</f>
        <v>#REF!</v>
      </c>
      <c r="T74" s="134" t="e">
        <f>VLOOKUP(Mapping!#REF!,_CEUS,2,FALSE)</f>
        <v>#REF!</v>
      </c>
      <c r="U74" s="134" t="e">
        <f>VLOOKUP(Mapping!#REF!,_CEUS,3,FALSE)</f>
        <v>#REF!</v>
      </c>
      <c r="V74" s="32" t="s">
        <v>51</v>
      </c>
      <c r="W74" s="32" t="s">
        <v>83</v>
      </c>
    </row>
    <row r="75" spans="1:23">
      <c r="A75" s="34" t="s">
        <v>749</v>
      </c>
      <c r="B75" s="27" t="s">
        <v>186</v>
      </c>
      <c r="C75" s="26">
        <f>VLOOKUP(Mapping!$E99,_90_1_2001,2,FALSE)</f>
        <v>0.3</v>
      </c>
      <c r="D75" s="26">
        <f>VLOOKUP(Mapping!$D99,_90_1_2007,2,FALSE)</f>
        <v>0.3</v>
      </c>
      <c r="E75" s="26">
        <f>VLOOKUP(Mapping!$C99,_90_1_2010,2,FALSE)</f>
        <v>0.63</v>
      </c>
      <c r="F75" s="26">
        <f>VLOOKUP(Mapping!$C99,_90_1_2010,3,FALSE)</f>
        <v>6</v>
      </c>
      <c r="G75" s="134">
        <v>0.2</v>
      </c>
      <c r="H75" s="134">
        <f>VLOOKUP(Mapping!G99,_Plugs,13,FALSE)</f>
        <v>0.31394912262618863</v>
      </c>
      <c r="I75" s="134">
        <f>VLOOKUP(Mapping!$G99,_Plugs,14,FALSE)</f>
        <v>2</v>
      </c>
      <c r="J75" s="134">
        <f>VLOOKUP(Mapping!$G99,_Plugs,15,FALSE)</f>
        <v>0.18587360594795541</v>
      </c>
      <c r="K75" s="134">
        <f>VLOOKUP(Mapping!$G99,_Plugs,16,FALSE)</f>
        <v>1</v>
      </c>
      <c r="L75" s="135">
        <v>333</v>
      </c>
      <c r="M75" s="135">
        <v>333</v>
      </c>
      <c r="N75" s="135">
        <v>275</v>
      </c>
      <c r="O75" s="135">
        <v>475</v>
      </c>
      <c r="P75" s="134">
        <v>0.15</v>
      </c>
      <c r="Q75" s="134">
        <v>0.15</v>
      </c>
      <c r="R75" s="135">
        <f>VLOOKUP(Mapping!$J99,_ACM05,6,FALSE)</f>
        <v>120</v>
      </c>
      <c r="S75" s="135">
        <f>VLOOKUP(Mapping!$I99,_ECB_CS,4,FALSE)</f>
        <v>0</v>
      </c>
      <c r="T75" s="134">
        <f>VLOOKUP(Mapping!$H99,_CEUS,2,FALSE)</f>
        <v>0</v>
      </c>
      <c r="U75" s="134">
        <f>VLOOKUP(Mapping!$H99,_CEUS,3,FALSE)</f>
        <v>3.1963470319634701E-2</v>
      </c>
      <c r="V75" s="32" t="s">
        <v>51</v>
      </c>
      <c r="W75" s="32" t="s">
        <v>83</v>
      </c>
    </row>
    <row r="76" spans="1:23">
      <c r="A76" s="34" t="s">
        <v>749</v>
      </c>
      <c r="B76" s="27" t="s">
        <v>187</v>
      </c>
      <c r="C76" s="26">
        <f>VLOOKUP(Mapping!$E100,_90_1_2001,2,FALSE)</f>
        <v>1.1000000000000001</v>
      </c>
      <c r="D76" s="26">
        <f>VLOOKUP(Mapping!$D100,_90_1_2007,2,FALSE)</f>
        <v>0.8</v>
      </c>
      <c r="E76" s="26">
        <f>VLOOKUP(Mapping!$C100,_90_1_2010,2,FALSE)</f>
        <v>0.63</v>
      </c>
      <c r="F76" s="26">
        <f>VLOOKUP(Mapping!$C100,_90_1_2010,3,FALSE)</f>
        <v>6</v>
      </c>
      <c r="G76" s="134">
        <v>0.2</v>
      </c>
      <c r="H76" s="134">
        <f>VLOOKUP(Mapping!G100,_Plugs,13,FALSE)</f>
        <v>0.31394912262618863</v>
      </c>
      <c r="I76" s="134">
        <f>VLOOKUP(Mapping!$G100,_Plugs,14,FALSE)</f>
        <v>2</v>
      </c>
      <c r="J76" s="134">
        <f>VLOOKUP(Mapping!$G100,_Plugs,15,FALSE)</f>
        <v>0.18587360594795541</v>
      </c>
      <c r="K76" s="134">
        <f>VLOOKUP(Mapping!$G100,_Plugs,16,FALSE)</f>
        <v>1</v>
      </c>
      <c r="L76" s="135">
        <v>100</v>
      </c>
      <c r="M76" s="135">
        <v>100</v>
      </c>
      <c r="N76" s="135">
        <v>250</v>
      </c>
      <c r="O76" s="135">
        <v>250</v>
      </c>
      <c r="P76" s="134">
        <v>0.15</v>
      </c>
      <c r="Q76" s="134">
        <v>0.15</v>
      </c>
      <c r="R76" s="135">
        <f>VLOOKUP(Mapping!$J100,_ACM05,6,FALSE)</f>
        <v>120</v>
      </c>
      <c r="S76" s="135">
        <f>VLOOKUP(Mapping!$I100,_ECB_CS,4,FALSE)</f>
        <v>0</v>
      </c>
      <c r="T76" s="134">
        <f>VLOOKUP(Mapping!$H100,_CEUS,2,FALSE)</f>
        <v>0</v>
      </c>
      <c r="U76" s="134">
        <f>VLOOKUP(Mapping!$H100,_CEUS,3,FALSE)</f>
        <v>3.1963470319634701E-2</v>
      </c>
      <c r="V76" s="32" t="s">
        <v>51</v>
      </c>
      <c r="W76" s="32" t="s">
        <v>83</v>
      </c>
    </row>
    <row r="77" spans="1:23">
      <c r="A77" s="34" t="s">
        <v>749</v>
      </c>
      <c r="B77" s="27" t="s">
        <v>192</v>
      </c>
      <c r="C77" s="26">
        <f>VLOOKUP(Mapping!$E141,_90_1_2001,2,FALSE)</f>
        <v>1.6</v>
      </c>
      <c r="D77" s="26">
        <f>VLOOKUP(Mapping!$D141,_90_1_2007,2,FALSE)</f>
        <v>1.4</v>
      </c>
      <c r="E77" s="26">
        <f>VLOOKUP(Mapping!$C141,_90_1_2010,2,FALSE)</f>
        <v>0.95</v>
      </c>
      <c r="F77" s="26">
        <f>VLOOKUP(Mapping!$C141,_90_1_2010,3,FALSE)</f>
        <v>6</v>
      </c>
      <c r="G77" s="134">
        <v>0.2</v>
      </c>
      <c r="H77" s="134">
        <f>VLOOKUP(Mapping!G141,_Plugs,13,FALSE)</f>
        <v>0.31394912262618863</v>
      </c>
      <c r="I77" s="134">
        <f>VLOOKUP(Mapping!$G141,_Plugs,14,FALSE)</f>
        <v>2</v>
      </c>
      <c r="J77" s="134">
        <f>VLOOKUP(Mapping!$G141,_Plugs,15,FALSE)</f>
        <v>0.18587360594795541</v>
      </c>
      <c r="K77" s="134">
        <f>VLOOKUP(Mapping!$G141,_Plugs,16,FALSE)</f>
        <v>1</v>
      </c>
      <c r="L77" s="135">
        <v>333</v>
      </c>
      <c r="M77" s="135">
        <v>333</v>
      </c>
      <c r="N77" s="135">
        <v>275</v>
      </c>
      <c r="O77" s="135">
        <v>475</v>
      </c>
      <c r="P77" s="134">
        <v>0.15</v>
      </c>
      <c r="Q77" s="134">
        <v>0.15</v>
      </c>
      <c r="R77" s="135">
        <f>VLOOKUP(Mapping!$J141,_ACM05,6,FALSE)</f>
        <v>120</v>
      </c>
      <c r="S77" s="135">
        <f>VLOOKUP(Mapping!$I141,_ECB_CS,4,FALSE)</f>
        <v>225</v>
      </c>
      <c r="T77" s="134">
        <f>VLOOKUP(Mapping!$H141,_CEUS,2,FALSE)</f>
        <v>0</v>
      </c>
      <c r="U77" s="134">
        <f>VLOOKUP(Mapping!$H141,_CEUS,3,FALSE)</f>
        <v>3.1963470319634701E-2</v>
      </c>
      <c r="V77" s="32" t="s">
        <v>51</v>
      </c>
      <c r="W77" s="32" t="s">
        <v>83</v>
      </c>
    </row>
    <row r="78" spans="1:23">
      <c r="A78" s="34" t="s">
        <v>749</v>
      </c>
      <c r="B78" s="27" t="s">
        <v>193</v>
      </c>
      <c r="C78" s="26">
        <f>VLOOKUP(Mapping!$E140,_90_1_2001,2,FALSE)</f>
        <v>1.1000000000000001</v>
      </c>
      <c r="D78" s="26">
        <f>VLOOKUP(Mapping!$D140,_90_1_2007,2,FALSE)</f>
        <v>0.9</v>
      </c>
      <c r="E78" s="26">
        <f>VLOOKUP(Mapping!$C140,_90_1_2010,2,FALSE)</f>
        <v>0.57999999999999996</v>
      </c>
      <c r="F78" s="26">
        <f>VLOOKUP(Mapping!$C140,_90_1_2010,3,FALSE)</f>
        <v>4</v>
      </c>
      <c r="G78" s="134">
        <v>0.5</v>
      </c>
      <c r="H78" s="134">
        <f>VLOOKUP(Mapping!G140,_Plugs,13,FALSE)</f>
        <v>0.31394912262618863</v>
      </c>
      <c r="I78" s="134">
        <f>VLOOKUP(Mapping!$G140,_Plugs,14,FALSE)</f>
        <v>2</v>
      </c>
      <c r="J78" s="134">
        <f>VLOOKUP(Mapping!$G140,_Plugs,15,FALSE)</f>
        <v>0.18587360594795541</v>
      </c>
      <c r="K78" s="134">
        <f>VLOOKUP(Mapping!$G140,_Plugs,16,FALSE)</f>
        <v>1</v>
      </c>
      <c r="L78" s="135">
        <v>30</v>
      </c>
      <c r="M78" s="135">
        <v>30</v>
      </c>
      <c r="N78" s="135">
        <v>250</v>
      </c>
      <c r="O78" s="135">
        <v>250</v>
      </c>
      <c r="P78" s="134">
        <v>0.25</v>
      </c>
      <c r="Q78" s="134">
        <v>0.25</v>
      </c>
      <c r="R78" s="135">
        <f>VLOOKUP(Mapping!$J140,_ACM05,6,FALSE)</f>
        <v>120</v>
      </c>
      <c r="S78" s="135">
        <f>VLOOKUP(Mapping!$I140,_ECB_CS,4,FALSE)</f>
        <v>225</v>
      </c>
      <c r="T78" s="134">
        <f>VLOOKUP(Mapping!$H140,_CEUS,2,FALSE)</f>
        <v>0</v>
      </c>
      <c r="U78" s="134">
        <f>VLOOKUP(Mapping!$H140,_CEUS,3,FALSE)</f>
        <v>3.1963470319634701E-2</v>
      </c>
      <c r="V78" s="32" t="s">
        <v>51</v>
      </c>
      <c r="W78" s="32" t="s">
        <v>38</v>
      </c>
    </row>
    <row r="79" spans="1:23">
      <c r="A79" s="34" t="s">
        <v>632</v>
      </c>
      <c r="B79" s="27" t="s">
        <v>118</v>
      </c>
      <c r="C79" s="26" t="e">
        <f>VLOOKUP(Mapping!#REF!,_90_1_2001,2,FALSE)</f>
        <v>#REF!</v>
      </c>
      <c r="D79" s="26" t="e">
        <f>VLOOKUP(Mapping!#REF!,_90_1_2007,2,FALSE)</f>
        <v>#REF!</v>
      </c>
      <c r="E79" s="26" t="e">
        <f>VLOOKUP(Mapping!#REF!,_90_1_2010,2,FALSE)</f>
        <v>#REF!</v>
      </c>
      <c r="F79" s="26" t="e">
        <f>VLOOKUP(Mapping!#REF!,_90_1_2010,3,FALSE)</f>
        <v>#REF!</v>
      </c>
      <c r="G79" s="134">
        <v>0.5</v>
      </c>
      <c r="H79" s="134" t="e">
        <f>VLOOKUP(Mapping!#REF!,_Plugs,13,FALSE)</f>
        <v>#REF!</v>
      </c>
      <c r="I79" s="134" t="e">
        <f>VLOOKUP(Mapping!#REF!,_Plugs,14,FALSE)</f>
        <v>#REF!</v>
      </c>
      <c r="J79" s="134" t="e">
        <f>VLOOKUP(Mapping!#REF!,_Plugs,15,FALSE)</f>
        <v>#REF!</v>
      </c>
      <c r="K79" s="134" t="e">
        <f>VLOOKUP(Mapping!#REF!,_Plugs,16,FALSE)</f>
        <v>#REF!</v>
      </c>
      <c r="L79" s="135">
        <v>100</v>
      </c>
      <c r="M79" s="135">
        <v>200</v>
      </c>
      <c r="N79" s="135">
        <v>250</v>
      </c>
      <c r="O79" s="135">
        <v>250</v>
      </c>
      <c r="P79" s="134">
        <v>0.15</v>
      </c>
      <c r="Q79" s="134">
        <v>0.15</v>
      </c>
      <c r="R79" s="135" t="e">
        <f>VLOOKUP(Mapping!#REF!,_ACM05,6,FALSE)</f>
        <v>#REF!</v>
      </c>
      <c r="S79" s="135" t="e">
        <f>VLOOKUP(Mapping!#REF!,_ECB_CS,4,FALSE)</f>
        <v>#REF!</v>
      </c>
      <c r="T79" s="134" t="e">
        <f>VLOOKUP(Mapping!#REF!,_CEUS,2,FALSE)</f>
        <v>#REF!</v>
      </c>
      <c r="U79" s="134" t="e">
        <f>VLOOKUP(Mapping!#REF!,_CEUS,3,FALSE)</f>
        <v>#REF!</v>
      </c>
      <c r="V79" s="32" t="s">
        <v>47</v>
      </c>
      <c r="W79" s="32" t="s">
        <v>48</v>
      </c>
    </row>
    <row r="80" spans="1:23">
      <c r="A80" s="34" t="s">
        <v>614</v>
      </c>
      <c r="B80" s="27" t="s">
        <v>94</v>
      </c>
      <c r="C80" s="26">
        <f>VLOOKUP(Mapping!$E52,_90_1_2001,2,FALSE)</f>
        <v>2.4</v>
      </c>
      <c r="D80" s="26">
        <f>VLOOKUP(Mapping!$D52,_90_1_2007,2,FALSE)</f>
        <v>1.5</v>
      </c>
      <c r="E80" s="26">
        <f>VLOOKUP(Mapping!$C52,_90_1_2010,2,FALSE)</f>
        <v>1.38</v>
      </c>
      <c r="F80" s="26">
        <f>VLOOKUP(Mapping!$C52,_90_1_2010,3,FALSE)</f>
        <v>6</v>
      </c>
      <c r="G80" s="134">
        <v>1.5</v>
      </c>
      <c r="H80" s="134">
        <f>VLOOKUP(Mapping!G52,_Plugs,13,FALSE)</f>
        <v>1.7200786547923466</v>
      </c>
      <c r="I80" s="134">
        <f>VLOOKUP(Mapping!$G52,_Plugs,14,FALSE)</f>
        <v>2</v>
      </c>
      <c r="J80" s="134">
        <f>VLOOKUP(Mapping!$G52,_Plugs,15,FALSE)</f>
        <v>0.77137546468401497</v>
      </c>
      <c r="K80" s="134">
        <f>VLOOKUP(Mapping!$G52,_Plugs,16,FALSE)</f>
        <v>1</v>
      </c>
      <c r="L80" s="135">
        <v>100</v>
      </c>
      <c r="M80" s="135">
        <v>100</v>
      </c>
      <c r="N80" s="135">
        <v>250</v>
      </c>
      <c r="O80" s="135">
        <v>250</v>
      </c>
      <c r="P80" s="134">
        <v>0.15</v>
      </c>
      <c r="Q80" s="134">
        <v>0.15</v>
      </c>
      <c r="R80" s="135">
        <f>VLOOKUP(Mapping!$J52,_ACM05,6,FALSE)</f>
        <v>120</v>
      </c>
      <c r="S80" s="135">
        <f>VLOOKUP(Mapping!$I52,_ECB_CS,4,FALSE)</f>
        <v>300</v>
      </c>
      <c r="T80" s="134">
        <f>VLOOKUP(Mapping!$H52,_CEUS,2,FALSE)</f>
        <v>0.12557077625570776</v>
      </c>
      <c r="U80" s="134">
        <f>VLOOKUP(Mapping!$H52,_CEUS,3,FALSE)</f>
        <v>5.3652968036529677E-2</v>
      </c>
      <c r="V80" s="32" t="s">
        <v>51</v>
      </c>
      <c r="W80" s="32" t="s">
        <v>52</v>
      </c>
    </row>
    <row r="81" spans="1:23">
      <c r="A81" s="34" t="s">
        <v>534</v>
      </c>
      <c r="B81" s="27" t="s">
        <v>151</v>
      </c>
      <c r="C81" s="26" t="e">
        <f>VLOOKUP(Mapping!#REF!,_90_1_2001,2,FALSE)</f>
        <v>#REF!</v>
      </c>
      <c r="D81" s="26" t="e">
        <f>VLOOKUP(Mapping!#REF!,_90_1_2007,2,FALSE)</f>
        <v>#REF!</v>
      </c>
      <c r="E81" s="26" t="e">
        <f>VLOOKUP(Mapping!#REF!,_90_1_2010,2,FALSE)</f>
        <v>#REF!</v>
      </c>
      <c r="F81" s="26" t="e">
        <f>VLOOKUP(Mapping!#REF!,_90_1_2010,3,FALSE)</f>
        <v>#REF!</v>
      </c>
      <c r="G81" s="134">
        <v>0.2</v>
      </c>
      <c r="H81" s="134" t="e">
        <f>VLOOKUP(Mapping!#REF!,_Plugs,13,FALSE)</f>
        <v>#REF!</v>
      </c>
      <c r="I81" s="134" t="e">
        <f>VLOOKUP(Mapping!#REF!,_Plugs,14,FALSE)</f>
        <v>#REF!</v>
      </c>
      <c r="J81" s="134" t="e">
        <f>VLOOKUP(Mapping!#REF!,_Plugs,15,FALSE)</f>
        <v>#REF!</v>
      </c>
      <c r="K81" s="134" t="e">
        <f>VLOOKUP(Mapping!#REF!,_Plugs,16,FALSE)</f>
        <v>#REF!</v>
      </c>
      <c r="L81" s="135">
        <v>333</v>
      </c>
      <c r="M81" s="135">
        <v>750</v>
      </c>
      <c r="N81" s="135">
        <v>250</v>
      </c>
      <c r="O81" s="135">
        <v>250</v>
      </c>
      <c r="P81" s="134">
        <v>0.15</v>
      </c>
      <c r="Q81" s="134">
        <v>0.15</v>
      </c>
      <c r="R81" s="135" t="e">
        <f>VLOOKUP(Mapping!#REF!,_ACM05,6,FALSE)</f>
        <v>#REF!</v>
      </c>
      <c r="S81" s="135" t="e">
        <f>VLOOKUP(Mapping!#REF!,_ECB_CS,4,FALSE)</f>
        <v>#REF!</v>
      </c>
      <c r="T81" s="134" t="e">
        <f>VLOOKUP(Mapping!#REF!,_CEUS,2,FALSE)</f>
        <v>#REF!</v>
      </c>
      <c r="U81" s="134" t="e">
        <f>VLOOKUP(Mapping!#REF!,_CEUS,3,FALSE)</f>
        <v>#REF!</v>
      </c>
      <c r="V81" s="32" t="s">
        <v>51</v>
      </c>
      <c r="W81" s="32" t="s">
        <v>36</v>
      </c>
    </row>
    <row r="82" spans="1:23">
      <c r="A82" s="34" t="s">
        <v>534</v>
      </c>
      <c r="B82" s="27" t="s">
        <v>162</v>
      </c>
      <c r="C82" s="26">
        <f>VLOOKUP(Mapping!$E89,_90_1_2001,2,FALSE)</f>
        <v>1.5</v>
      </c>
      <c r="D82" s="26">
        <f>VLOOKUP(Mapping!$D89,_90_1_2007,2,FALSE)</f>
        <v>1.1000000000000001</v>
      </c>
      <c r="E82" s="26">
        <f>VLOOKUP(Mapping!$C89,_90_1_2010,2,FALSE)</f>
        <v>1.1100000000000001</v>
      </c>
      <c r="F82" s="26">
        <f>VLOOKUP(Mapping!$C89,_90_1_2010,3,FALSE)</f>
        <v>8</v>
      </c>
      <c r="G82" s="134">
        <v>1.5</v>
      </c>
      <c r="H82" s="134">
        <f>VLOOKUP(Mapping!G89,_Plugs,13,FALSE)</f>
        <v>1.672119383011335</v>
      </c>
      <c r="I82" s="134">
        <f>VLOOKUP(Mapping!$G89,_Plugs,14,FALSE)</f>
        <v>2</v>
      </c>
      <c r="J82" s="134">
        <f>VLOOKUP(Mapping!$G89,_Plugs,15,FALSE)</f>
        <v>0.77137546468401497</v>
      </c>
      <c r="K82" s="134">
        <f>VLOOKUP(Mapping!$G89,_Plugs,16,FALSE)</f>
        <v>1</v>
      </c>
      <c r="L82" s="135">
        <v>100</v>
      </c>
      <c r="M82" s="135">
        <v>100</v>
      </c>
      <c r="N82" s="135">
        <v>250</v>
      </c>
      <c r="O82" s="135">
        <v>200</v>
      </c>
      <c r="P82" s="134">
        <v>0.15</v>
      </c>
      <c r="Q82" s="134">
        <v>0.15</v>
      </c>
      <c r="R82" s="135">
        <f>VLOOKUP(Mapping!$J89,_ACM05,6,FALSE)</f>
        <v>120</v>
      </c>
      <c r="S82" s="135">
        <f>VLOOKUP(Mapping!$I89,_ECB_CS,4,FALSE)</f>
        <v>300</v>
      </c>
      <c r="T82" s="134">
        <f>VLOOKUP(Mapping!$H89,_CEUS,2,FALSE)</f>
        <v>0.12557077625570776</v>
      </c>
      <c r="U82" s="134">
        <f>VLOOKUP(Mapping!$H89,_CEUS,3,FALSE)</f>
        <v>5.3652968036529677E-2</v>
      </c>
      <c r="V82" s="32" t="s">
        <v>51</v>
      </c>
      <c r="W82" s="32" t="s">
        <v>52</v>
      </c>
    </row>
    <row r="83" spans="1:23">
      <c r="A83" s="34" t="s">
        <v>534</v>
      </c>
      <c r="B83" s="27" t="s">
        <v>163</v>
      </c>
      <c r="C83" s="26">
        <f>VLOOKUP(Mapping!$E90,_90_1_2001,2,FALSE)</f>
        <v>1.3</v>
      </c>
      <c r="D83" s="26">
        <f>VLOOKUP(Mapping!$D90,_90_1_2007,2,FALSE)</f>
        <v>1.1000000000000001</v>
      </c>
      <c r="E83" s="26">
        <f>VLOOKUP(Mapping!$C90,_90_1_2010,2,FALSE)</f>
        <v>0.98</v>
      </c>
      <c r="F83" s="26">
        <f>VLOOKUP(Mapping!$C90,_90_1_2010,3,FALSE)</f>
        <v>4</v>
      </c>
      <c r="G83" s="134">
        <v>1.5</v>
      </c>
      <c r="H83" s="134">
        <f>VLOOKUP(Mapping!G90,_Plugs,13,FALSE)</f>
        <v>1.672119383011335</v>
      </c>
      <c r="I83" s="134">
        <f>VLOOKUP(Mapping!$G90,_Plugs,14,FALSE)</f>
        <v>2</v>
      </c>
      <c r="J83" s="134">
        <f>VLOOKUP(Mapping!$G90,_Plugs,15,FALSE)</f>
        <v>0.77137546468401497</v>
      </c>
      <c r="K83" s="134">
        <f>VLOOKUP(Mapping!$G90,_Plugs,16,FALSE)</f>
        <v>1</v>
      </c>
      <c r="L83" s="135">
        <v>100</v>
      </c>
      <c r="M83" s="135">
        <v>150</v>
      </c>
      <c r="N83" s="135">
        <v>250</v>
      </c>
      <c r="O83" s="135">
        <v>200</v>
      </c>
      <c r="P83" s="134">
        <v>0.15</v>
      </c>
      <c r="Q83" s="134">
        <v>0.15</v>
      </c>
      <c r="R83" s="135">
        <f>VLOOKUP(Mapping!$J90,_ACM05,6,FALSE)</f>
        <v>120</v>
      </c>
      <c r="S83" s="135">
        <f>VLOOKUP(Mapping!$I90,_ECB_CS,4,FALSE)</f>
        <v>300</v>
      </c>
      <c r="T83" s="134">
        <f>VLOOKUP(Mapping!$H90,_CEUS,2,FALSE)</f>
        <v>0.12557077625570776</v>
      </c>
      <c r="U83" s="134">
        <f>VLOOKUP(Mapping!$H90,_CEUS,3,FALSE)</f>
        <v>5.3652968036529677E-2</v>
      </c>
      <c r="V83" s="32" t="s">
        <v>51</v>
      </c>
      <c r="W83" s="32" t="s">
        <v>52</v>
      </c>
    </row>
    <row r="84" spans="1:23">
      <c r="A84" s="69" t="s">
        <v>1253</v>
      </c>
      <c r="B84" s="27" t="s">
        <v>86</v>
      </c>
      <c r="C84" s="26">
        <f>VLOOKUP(Mapping!$E50,_90_1_2001,2,FALSE)</f>
        <v>1.3</v>
      </c>
      <c r="D84" s="26">
        <f>VLOOKUP(Mapping!$D50,_90_1_2007,2,FALSE)</f>
        <v>0.6</v>
      </c>
      <c r="E84" s="26" t="str">
        <f>VLOOKUP(Mapping!$C50,_90_1_2010,2,FALSE)</f>
        <v>0.03 (watts per ft height)</v>
      </c>
      <c r="F84" s="26" t="str">
        <f>VLOOKUP(Mapping!$C50,_90_1_2010,3,FALSE)</f>
        <v>n.a.</v>
      </c>
      <c r="G84" s="134"/>
      <c r="H84" s="134" t="str">
        <f>VLOOKUP(Mapping!G50,_Plugs,13,FALSE)</f>
        <v>n.a.</v>
      </c>
      <c r="I84" s="134" t="str">
        <f>VLOOKUP(Mapping!$G50,_Plugs,14,FALSE)</f>
        <v>n.a.</v>
      </c>
      <c r="J84" s="134" t="str">
        <f>VLOOKUP(Mapping!$G50,_Plugs,15,FALSE)</f>
        <v>n.a.</v>
      </c>
      <c r="K84" s="134" t="str">
        <f>VLOOKUP(Mapping!$G50,_Plugs,16,FALSE)</f>
        <v>n.a.</v>
      </c>
      <c r="L84" s="135"/>
      <c r="M84" s="135"/>
      <c r="N84" s="135"/>
      <c r="O84" s="135"/>
      <c r="P84" s="134"/>
      <c r="Q84" s="134"/>
      <c r="R84" s="135">
        <f>VLOOKUP(Mapping!$J50,_ACM05,6,FALSE)</f>
        <v>120</v>
      </c>
      <c r="S84" s="135">
        <f>VLOOKUP(Mapping!$I50,_ECB_CS,4,FALSE)</f>
        <v>0</v>
      </c>
      <c r="T84" s="134">
        <f>VLOOKUP(Mapping!$H50,_CEUS,2,FALSE)</f>
        <v>2.2831050228310501E-2</v>
      </c>
      <c r="U84" s="134">
        <f>VLOOKUP(Mapping!$H50,_CEUS,3,FALSE)</f>
        <v>6.6210045662100453E-2</v>
      </c>
      <c r="V84" s="33"/>
      <c r="W84" s="32"/>
    </row>
    <row r="85" spans="1:23">
      <c r="A85" s="69" t="s">
        <v>1253</v>
      </c>
      <c r="B85" s="27" t="s">
        <v>88</v>
      </c>
      <c r="C85" s="26">
        <f>VLOOKUP(Mapping!$E51,_90_1_2001,2,FALSE)</f>
        <v>0.2</v>
      </c>
      <c r="D85" s="26">
        <f>VLOOKUP(Mapping!$D51,_90_1_2007,2,FALSE)</f>
        <v>0.2</v>
      </c>
      <c r="E85" s="26" t="str">
        <f>VLOOKUP(Mapping!$C51,_90_1_2010,2,FALSE)</f>
        <v>0.02 (watts per ft height)</v>
      </c>
      <c r="F85" s="26" t="str">
        <f>VLOOKUP(Mapping!$C51,_90_1_2010,3,FALSE)</f>
        <v>n.a.</v>
      </c>
      <c r="G85" s="134"/>
      <c r="H85" s="134" t="str">
        <f>VLOOKUP(Mapping!G51,_Plugs,13,FALSE)</f>
        <v>n.a.</v>
      </c>
      <c r="I85" s="134" t="str">
        <f>VLOOKUP(Mapping!$G51,_Plugs,14,FALSE)</f>
        <v>n.a.</v>
      </c>
      <c r="J85" s="134" t="str">
        <f>VLOOKUP(Mapping!$G51,_Plugs,15,FALSE)</f>
        <v>n.a.</v>
      </c>
      <c r="K85" s="134" t="str">
        <f>VLOOKUP(Mapping!$G51,_Plugs,16,FALSE)</f>
        <v>n.a.</v>
      </c>
      <c r="L85" s="135"/>
      <c r="M85" s="135"/>
      <c r="N85" s="135"/>
      <c r="O85" s="135"/>
      <c r="P85" s="134"/>
      <c r="Q85" s="134"/>
      <c r="R85" s="135">
        <f>VLOOKUP(Mapping!$J51,_ACM05,6,FALSE)</f>
        <v>120</v>
      </c>
      <c r="S85" s="135">
        <f>VLOOKUP(Mapping!$I51,_ECB_CS,4,FALSE)</f>
        <v>0</v>
      </c>
      <c r="T85" s="134">
        <f>VLOOKUP(Mapping!$H51,_CEUS,2,FALSE)</f>
        <v>2.2831050228310501E-2</v>
      </c>
      <c r="U85" s="134">
        <f>VLOOKUP(Mapping!$H51,_CEUS,3,FALSE)</f>
        <v>6.6210045662100453E-2</v>
      </c>
      <c r="V85" s="33"/>
      <c r="W85" s="32"/>
    </row>
    <row r="86" spans="1:23">
      <c r="A86" s="69" t="s">
        <v>1253</v>
      </c>
      <c r="B86" s="27" t="s">
        <v>100</v>
      </c>
      <c r="C86" s="26">
        <f>VLOOKUP(Mapping!$E62,_90_1_2001,2,FALSE)</f>
        <v>0.7</v>
      </c>
      <c r="D86" s="26">
        <f>VLOOKUP(Mapping!$D62,_90_1_2007,2,FALSE)</f>
        <v>0.5</v>
      </c>
      <c r="E86" s="26">
        <f>VLOOKUP(Mapping!$C62,_90_1_2010,2,FALSE)</f>
        <v>0.66</v>
      </c>
      <c r="F86" s="26" t="str">
        <f>VLOOKUP(Mapping!$C62,_90_1_2010,3,FALSE)</f>
        <v xml:space="preserve"> Width&lt;8 ft  </v>
      </c>
      <c r="G86" s="134">
        <v>0.2</v>
      </c>
      <c r="H86" s="134" t="str">
        <f>VLOOKUP(Mapping!G62,_Plugs,13,FALSE)</f>
        <v>UWBD</v>
      </c>
      <c r="I86" s="134" t="str">
        <f>VLOOKUP(Mapping!$G62,_Plugs,14,FALSE)</f>
        <v>UWBD</v>
      </c>
      <c r="J86" s="134" t="str">
        <f>VLOOKUP(Mapping!$G62,_Plugs,15,FALSE)</f>
        <v>UWBD</v>
      </c>
      <c r="K86" s="134" t="str">
        <f>VLOOKUP(Mapping!$G62,_Plugs,16,FALSE)</f>
        <v>UWBD</v>
      </c>
      <c r="L86" s="135">
        <v>100</v>
      </c>
      <c r="M86" s="135">
        <v>200</v>
      </c>
      <c r="N86" s="135">
        <v>250</v>
      </c>
      <c r="O86" s="135">
        <v>250</v>
      </c>
      <c r="P86" s="134">
        <v>0.15</v>
      </c>
      <c r="Q86" s="134">
        <v>0.15</v>
      </c>
      <c r="R86" s="135">
        <f>VLOOKUP(Mapping!$J62,_ACM05,6,FALSE)</f>
        <v>0</v>
      </c>
      <c r="S86" s="135">
        <f>VLOOKUP(Mapping!$I62,_ECB_CS,4,FALSE)</f>
        <v>0</v>
      </c>
      <c r="T86" s="134">
        <f>VLOOKUP(Mapping!$H62,_CEUS,2,FALSE)</f>
        <v>2.2831050228310501E-2</v>
      </c>
      <c r="U86" s="134">
        <f>VLOOKUP(Mapping!$H62,_CEUS,3,FALSE)</f>
        <v>6.6210045662100453E-2</v>
      </c>
      <c r="V86" s="32" t="s">
        <v>51</v>
      </c>
      <c r="W86" s="32" t="s">
        <v>38</v>
      </c>
    </row>
    <row r="87" spans="1:23">
      <c r="A87" s="34" t="s">
        <v>1253</v>
      </c>
      <c r="B87" s="27" t="s">
        <v>149</v>
      </c>
      <c r="C87" s="26">
        <f>VLOOKUP(Mapping!$E86,_90_1_2001,2,FALSE)</f>
        <v>0.8</v>
      </c>
      <c r="D87" s="26">
        <f>VLOOKUP(Mapping!$D86,_90_1_2007,2,FALSE)</f>
        <v>0.6</v>
      </c>
      <c r="E87" s="26">
        <f>VLOOKUP(Mapping!$C86,_90_1_2010,2,FALSE)</f>
        <v>0.75</v>
      </c>
      <c r="F87" s="26">
        <f>VLOOKUP(Mapping!$C86,_90_1_2010,3,FALSE)</f>
        <v>6</v>
      </c>
      <c r="G87" s="134">
        <v>0.5</v>
      </c>
      <c r="H87" s="134" t="str">
        <f>VLOOKUP(Mapping!G86,_Plugs,13,FALSE)</f>
        <v>n.a.</v>
      </c>
      <c r="I87" s="134" t="str">
        <f>VLOOKUP(Mapping!$G86,_Plugs,14,FALSE)</f>
        <v>n.a.</v>
      </c>
      <c r="J87" s="134" t="str">
        <f>VLOOKUP(Mapping!$G86,_Plugs,15,FALSE)</f>
        <v>n.a.</v>
      </c>
      <c r="K87" s="134" t="str">
        <f>VLOOKUP(Mapping!$G86,_Plugs,16,FALSE)</f>
        <v>n.a.</v>
      </c>
      <c r="L87" s="135">
        <v>50</v>
      </c>
      <c r="M87" s="135">
        <v>50</v>
      </c>
      <c r="N87" s="135">
        <v>255</v>
      </c>
      <c r="O87" s="135">
        <v>475</v>
      </c>
      <c r="P87" s="134">
        <v>0.15</v>
      </c>
      <c r="Q87" s="134">
        <v>0.15</v>
      </c>
      <c r="R87" s="135">
        <f>VLOOKUP(Mapping!$J86,_ACM05,6,FALSE)</f>
        <v>120</v>
      </c>
      <c r="S87" s="135">
        <f>VLOOKUP(Mapping!$I86,_ECB_CS,4,FALSE)</f>
        <v>0</v>
      </c>
      <c r="T87" s="134">
        <f>VLOOKUP(Mapping!$H86,_CEUS,2,FALSE)</f>
        <v>0.75342465753424659</v>
      </c>
      <c r="U87" s="134">
        <f>VLOOKUP(Mapping!$H86,_CEUS,3,FALSE)</f>
        <v>9.8173515981735154E-2</v>
      </c>
      <c r="V87" s="32" t="s">
        <v>51</v>
      </c>
      <c r="W87" s="32" t="s">
        <v>38</v>
      </c>
    </row>
    <row r="88" spans="1:23">
      <c r="A88" s="34" t="s">
        <v>1253</v>
      </c>
      <c r="B88" s="27" t="s">
        <v>172</v>
      </c>
      <c r="C88" s="26">
        <f>VLOOKUP(Mapping!$E94,_90_1_2001,2,FALSE)</f>
        <v>1</v>
      </c>
      <c r="D88" s="26">
        <f>VLOOKUP(Mapping!$D94,_90_1_2007,2,FALSE)</f>
        <v>0.9</v>
      </c>
      <c r="E88" s="26">
        <f>VLOOKUP(Mapping!$C94,_90_1_2010,2,FALSE)</f>
        <v>0.98</v>
      </c>
      <c r="F88" s="26">
        <f>VLOOKUP(Mapping!$C94,_90_1_2010,3,FALSE)</f>
        <v>8</v>
      </c>
      <c r="G88" s="134">
        <v>0.5</v>
      </c>
      <c r="H88" s="134" t="str">
        <f>VLOOKUP(Mapping!G94,_Plugs,13,FALSE)</f>
        <v>UWBD</v>
      </c>
      <c r="I88" s="134" t="str">
        <f>VLOOKUP(Mapping!$G94,_Plugs,14,FALSE)</f>
        <v>UWBD</v>
      </c>
      <c r="J88" s="134" t="str">
        <f>VLOOKUP(Mapping!$G94,_Plugs,15,FALSE)</f>
        <v>UWBD</v>
      </c>
      <c r="K88" s="134" t="str">
        <f>VLOOKUP(Mapping!$G94,_Plugs,16,FALSE)</f>
        <v>UWBD</v>
      </c>
      <c r="L88" s="135">
        <v>7</v>
      </c>
      <c r="M88" s="135">
        <v>9</v>
      </c>
      <c r="N88" s="135">
        <v>245</v>
      </c>
      <c r="O88" s="135">
        <v>105</v>
      </c>
      <c r="P88" s="134">
        <v>1.07</v>
      </c>
      <c r="Q88" s="134">
        <v>1.07</v>
      </c>
      <c r="R88" s="135">
        <f>VLOOKUP(Mapping!$J94,_ACM05,6,FALSE)</f>
        <v>0</v>
      </c>
      <c r="S88" s="135">
        <f>VLOOKUP(Mapping!$I94,_ECB_CS,4,FALSE)</f>
        <v>0</v>
      </c>
      <c r="T88" s="134" t="str">
        <f>VLOOKUP(Mapping!$H94,_CEUS,2,FALSE)</f>
        <v>n.a.</v>
      </c>
      <c r="U88" s="134" t="str">
        <f>VLOOKUP(Mapping!$H94,_CEUS,3,FALSE)</f>
        <v>n.a.</v>
      </c>
      <c r="V88" s="32" t="s">
        <v>51</v>
      </c>
      <c r="W88" s="32" t="s">
        <v>38</v>
      </c>
    </row>
    <row r="89" spans="1:23">
      <c r="A89" s="34" t="s">
        <v>1253</v>
      </c>
      <c r="B89" s="27" t="s">
        <v>173</v>
      </c>
      <c r="C89" s="26" t="e">
        <f>VLOOKUP(Mapping!#REF!,_90_1_2001,2,FALSE)</f>
        <v>#REF!</v>
      </c>
      <c r="D89" s="26" t="e">
        <f>VLOOKUP(Mapping!#REF!,_90_1_2007,2,FALSE)</f>
        <v>#REF!</v>
      </c>
      <c r="E89" s="26" t="e">
        <f>VLOOKUP(Mapping!#REF!,_90_1_2010,2,FALSE)</f>
        <v>#REF!</v>
      </c>
      <c r="F89" s="26" t="e">
        <f>VLOOKUP(Mapping!#REF!,_90_1_2010,3,FALSE)</f>
        <v>#REF!</v>
      </c>
      <c r="G89" s="134">
        <v>0.5</v>
      </c>
      <c r="H89" s="134" t="e">
        <f>VLOOKUP(Mapping!#REF!,_Plugs,13,FALSE)</f>
        <v>#REF!</v>
      </c>
      <c r="I89" s="134" t="e">
        <f>VLOOKUP(Mapping!#REF!,_Plugs,14,FALSE)</f>
        <v>#REF!</v>
      </c>
      <c r="J89" s="134" t="e">
        <f>VLOOKUP(Mapping!#REF!,_Plugs,15,FALSE)</f>
        <v>#REF!</v>
      </c>
      <c r="K89" s="134" t="e">
        <f>VLOOKUP(Mapping!#REF!,_Plugs,16,FALSE)</f>
        <v>#REF!</v>
      </c>
      <c r="L89" s="135">
        <v>50</v>
      </c>
      <c r="M89" s="135">
        <v>50</v>
      </c>
      <c r="N89" s="135">
        <v>255</v>
      </c>
      <c r="O89" s="135">
        <v>475</v>
      </c>
      <c r="P89" s="134">
        <v>0.15</v>
      </c>
      <c r="Q89" s="134">
        <v>0.15</v>
      </c>
      <c r="R89" s="135" t="e">
        <f>VLOOKUP(Mapping!#REF!,_ACM05,6,FALSE)</f>
        <v>#REF!</v>
      </c>
      <c r="S89" s="135" t="e">
        <f>VLOOKUP(Mapping!#REF!,_ECB_CS,4,FALSE)</f>
        <v>#REF!</v>
      </c>
      <c r="T89" s="134" t="e">
        <f>VLOOKUP(Mapping!#REF!,_CEUS,2,FALSE)</f>
        <v>#REF!</v>
      </c>
      <c r="U89" s="134" t="e">
        <f>VLOOKUP(Mapping!#REF!,_CEUS,3,FALSE)</f>
        <v>#REF!</v>
      </c>
      <c r="V89" s="32" t="s">
        <v>51</v>
      </c>
      <c r="W89" s="32" t="s">
        <v>174</v>
      </c>
    </row>
    <row r="90" spans="1:23">
      <c r="A90" s="34" t="s">
        <v>1253</v>
      </c>
      <c r="B90" s="27" t="s">
        <v>185</v>
      </c>
      <c r="C90" s="26">
        <f>VLOOKUP(Mapping!$E97,_90_1_2001,2,FALSE)</f>
        <v>0.9</v>
      </c>
      <c r="D90" s="26">
        <f>VLOOKUP(Mapping!$D97,_90_1_2007,2,FALSE)</f>
        <v>0.6</v>
      </c>
      <c r="E90" s="26">
        <f>VLOOKUP(Mapping!$C97,_90_1_2010,2,FALSE)</f>
        <v>0.69</v>
      </c>
      <c r="F90" s="26">
        <f>VLOOKUP(Mapping!$C97,_90_1_2010,3,FALSE)</f>
        <v>10</v>
      </c>
      <c r="G90" s="134">
        <v>1</v>
      </c>
      <c r="H90" s="134" t="str">
        <f>VLOOKUP(Mapping!G97,_Plugs,13,FALSE)</f>
        <v>UWBD</v>
      </c>
      <c r="I90" s="134" t="str">
        <f>VLOOKUP(Mapping!$G97,_Plugs,14,FALSE)</f>
        <v>UWBD</v>
      </c>
      <c r="J90" s="134" t="str">
        <f>VLOOKUP(Mapping!$G97,_Plugs,15,FALSE)</f>
        <v>UWBD</v>
      </c>
      <c r="K90" s="134" t="str">
        <f>VLOOKUP(Mapping!$G97,_Plugs,16,FALSE)</f>
        <v>UWBD</v>
      </c>
      <c r="L90" s="135">
        <v>7</v>
      </c>
      <c r="M90" s="135">
        <v>9</v>
      </c>
      <c r="N90" s="135">
        <v>245</v>
      </c>
      <c r="O90" s="135">
        <v>105</v>
      </c>
      <c r="P90" s="134">
        <v>1.07</v>
      </c>
      <c r="Q90" s="134">
        <v>1.07</v>
      </c>
      <c r="R90" s="135">
        <f>VLOOKUP(Mapping!$J97,_ACM05,6,FALSE)</f>
        <v>0</v>
      </c>
      <c r="S90" s="135">
        <f>VLOOKUP(Mapping!$I97,_ECB_CS,4,FALSE)</f>
        <v>0</v>
      </c>
      <c r="T90" s="134" t="str">
        <f>VLOOKUP(Mapping!$H97,_CEUS,2,FALSE)</f>
        <v>n.a.</v>
      </c>
      <c r="U90" s="134" t="str">
        <f>VLOOKUP(Mapping!$H97,_CEUS,3,FALSE)</f>
        <v>n.a.</v>
      </c>
      <c r="V90" s="32" t="s">
        <v>51</v>
      </c>
      <c r="W90" s="32" t="s">
        <v>38</v>
      </c>
    </row>
    <row r="91" spans="1:23">
      <c r="A91" s="34" t="s">
        <v>525</v>
      </c>
      <c r="B91" s="27" t="s">
        <v>147</v>
      </c>
      <c r="C91" s="26">
        <f>VLOOKUP(Mapping!$E83,_90_1_2001,2,FALSE)</f>
        <v>0.8</v>
      </c>
      <c r="D91" s="26">
        <f>VLOOKUP(Mapping!$D83,_90_1_2007,2,FALSE)</f>
        <v>1.1000000000000001</v>
      </c>
      <c r="E91" s="26">
        <f>VLOOKUP(Mapping!$C83,_90_1_2010,2,FALSE)</f>
        <v>2</v>
      </c>
      <c r="F91" s="26">
        <f>VLOOKUP(Mapping!$C83,_90_1_2010,3,FALSE)</f>
        <v>6</v>
      </c>
      <c r="G91" s="134">
        <v>0.5</v>
      </c>
      <c r="H91" s="134">
        <f>VLOOKUP(Mapping!G83,_Plugs,13,FALSE)</f>
        <v>0.74485358050420625</v>
      </c>
      <c r="I91" s="134">
        <f>VLOOKUP(Mapping!$G83,_Plugs,14,FALSE)</f>
        <v>2</v>
      </c>
      <c r="J91" s="134">
        <f>VLOOKUP(Mapping!$G83,_Plugs,15,FALSE)</f>
        <v>0.54832713754646845</v>
      </c>
      <c r="K91" s="134">
        <f>VLOOKUP(Mapping!$G83,_Plugs,16,FALSE)</f>
        <v>1</v>
      </c>
      <c r="L91" s="135">
        <v>100</v>
      </c>
      <c r="M91" s="135">
        <v>100</v>
      </c>
      <c r="N91" s="135">
        <v>250</v>
      </c>
      <c r="O91" s="135">
        <v>250</v>
      </c>
      <c r="P91" s="134">
        <v>0.15</v>
      </c>
      <c r="Q91" s="134">
        <v>0.15</v>
      </c>
      <c r="R91" s="135">
        <f>VLOOKUP(Mapping!$J83,_ACM05,6,FALSE)</f>
        <v>60</v>
      </c>
      <c r="S91" s="135">
        <f>VLOOKUP(Mapping!$I83,_ECB_CS,4,FALSE)</f>
        <v>0</v>
      </c>
      <c r="T91" s="134">
        <f>VLOOKUP(Mapping!$H83,_CEUS,2,FALSE)</f>
        <v>2.2831050228310501E-2</v>
      </c>
      <c r="U91" s="134">
        <f>VLOOKUP(Mapping!$H83,_CEUS,3,FALSE)</f>
        <v>6.6210045662100453E-2</v>
      </c>
      <c r="V91" s="32" t="s">
        <v>51</v>
      </c>
      <c r="W91" s="32" t="s">
        <v>38</v>
      </c>
    </row>
    <row r="92" spans="1:23">
      <c r="A92" s="34" t="s">
        <v>525</v>
      </c>
      <c r="B92" s="27" t="s">
        <v>148</v>
      </c>
      <c r="C92" s="26">
        <f>VLOOKUP(Mapping!$E84,_90_1_2001,2,FALSE)</f>
        <v>1.2</v>
      </c>
      <c r="D92" s="26">
        <f>VLOOKUP(Mapping!$D84,_90_1_2007,2,FALSE)</f>
        <v>3.3</v>
      </c>
      <c r="E92" s="26">
        <f>VLOOKUP(Mapping!$C84,_90_1_2010,2,FALSE)</f>
        <v>0.52</v>
      </c>
      <c r="F92" s="26">
        <f>VLOOKUP(Mapping!$C84,_90_1_2010,3,FALSE)</f>
        <v>4</v>
      </c>
      <c r="G92" s="134">
        <v>0.5</v>
      </c>
      <c r="H92" s="134">
        <f>VLOOKUP(Mapping!G84,_Plugs,13,FALSE)</f>
        <v>0.74485358050420625</v>
      </c>
      <c r="I92" s="134">
        <f>VLOOKUP(Mapping!$G84,_Plugs,14,FALSE)</f>
        <v>2</v>
      </c>
      <c r="J92" s="134">
        <f>VLOOKUP(Mapping!$G84,_Plugs,15,FALSE)</f>
        <v>0.54832713754646845</v>
      </c>
      <c r="K92" s="134">
        <f>VLOOKUP(Mapping!$G84,_Plugs,16,FALSE)</f>
        <v>1</v>
      </c>
      <c r="L92" s="135">
        <v>100</v>
      </c>
      <c r="M92" s="135">
        <v>100</v>
      </c>
      <c r="N92" s="135">
        <v>250</v>
      </c>
      <c r="O92" s="135">
        <v>250</v>
      </c>
      <c r="P92" s="134">
        <v>0.15</v>
      </c>
      <c r="Q92" s="134">
        <v>0.15</v>
      </c>
      <c r="R92" s="135">
        <f>VLOOKUP(Mapping!$J84,_ACM05,6,FALSE)</f>
        <v>60</v>
      </c>
      <c r="S92" s="135">
        <f>VLOOKUP(Mapping!$I84,_ECB_CS,4,FALSE)</f>
        <v>0</v>
      </c>
      <c r="T92" s="134">
        <f>VLOOKUP(Mapping!$H84,_CEUS,2,FALSE)</f>
        <v>2.2831050228310501E-2</v>
      </c>
      <c r="U92" s="134">
        <f>VLOOKUP(Mapping!$H84,_CEUS,3,FALSE)</f>
        <v>6.6210045662100453E-2</v>
      </c>
      <c r="V92" s="32" t="s">
        <v>51</v>
      </c>
      <c r="W92" s="32" t="s">
        <v>38</v>
      </c>
    </row>
    <row r="93" spans="1:23">
      <c r="A93" s="34" t="s">
        <v>525</v>
      </c>
      <c r="B93" s="27" t="s">
        <v>158</v>
      </c>
      <c r="C93" s="26">
        <f>VLOOKUP(Mapping!$E126,_90_1_2001,2,FALSE)</f>
        <v>1.6</v>
      </c>
      <c r="D93" s="26">
        <f>VLOOKUP(Mapping!$D126,_90_1_2007,2,FALSE)</f>
        <v>1</v>
      </c>
      <c r="E93" s="26">
        <f>VLOOKUP(Mapping!$C126,_90_1_2010,2,FALSE)</f>
        <v>1.05</v>
      </c>
      <c r="F93" s="26">
        <f>VLOOKUP(Mapping!$C126,_90_1_2010,3,FALSE)</f>
        <v>6</v>
      </c>
      <c r="G93" s="134">
        <v>0.2</v>
      </c>
      <c r="H93" s="134">
        <f>VLOOKUP(Mapping!G126,_Plugs,13,FALSE)</f>
        <v>0.74485358050420625</v>
      </c>
      <c r="I93" s="134">
        <f>VLOOKUP(Mapping!$G126,_Plugs,14,FALSE)</f>
        <v>2</v>
      </c>
      <c r="J93" s="134">
        <f>VLOOKUP(Mapping!$G126,_Plugs,15,FALSE)</f>
        <v>0.54832713754646845</v>
      </c>
      <c r="K93" s="134">
        <f>VLOOKUP(Mapping!$G126,_Plugs,16,FALSE)</f>
        <v>1</v>
      </c>
      <c r="L93" s="135">
        <v>333</v>
      </c>
      <c r="M93" s="135">
        <v>200</v>
      </c>
      <c r="N93" s="135">
        <v>275</v>
      </c>
      <c r="O93" s="135">
        <v>475</v>
      </c>
      <c r="P93" s="134">
        <v>0.15</v>
      </c>
      <c r="Q93" s="134">
        <v>0.15</v>
      </c>
      <c r="R93" s="135">
        <f>VLOOKUP(Mapping!$J126,_ACM05,6,FALSE)</f>
        <v>60</v>
      </c>
      <c r="S93" s="135">
        <f>VLOOKUP(Mapping!$I126,_ECB_CS,4,FALSE)</f>
        <v>215</v>
      </c>
      <c r="T93" s="134">
        <f>VLOOKUP(Mapping!$H126,_CEUS,2,FALSE)</f>
        <v>2.2831050228310501E-2</v>
      </c>
      <c r="U93" s="134">
        <f>VLOOKUP(Mapping!$H126,_CEUS,3,FALSE)</f>
        <v>6.6210045662100453E-2</v>
      </c>
      <c r="V93" s="32" t="s">
        <v>51</v>
      </c>
      <c r="W93" s="32" t="s">
        <v>38</v>
      </c>
    </row>
    <row r="94" spans="1:23">
      <c r="A94" s="34" t="s">
        <v>516</v>
      </c>
      <c r="B94" s="27" t="s">
        <v>142</v>
      </c>
      <c r="C94" s="26" t="e">
        <f>VLOOKUP(Mapping!#REF!,_90_1_2001,2,FALSE)</f>
        <v>#REF!</v>
      </c>
      <c r="D94" s="26" t="e">
        <f>VLOOKUP(Mapping!#REF!,_90_1_2007,2,FALSE)</f>
        <v>#REF!</v>
      </c>
      <c r="E94" s="26" t="e">
        <f>VLOOKUP(Mapping!#REF!,_90_1_2010,2,FALSE)</f>
        <v>#REF!</v>
      </c>
      <c r="F94" s="26" t="e">
        <f>VLOOKUP(Mapping!#REF!,_90_1_2010,3,FALSE)</f>
        <v>#REF!</v>
      </c>
      <c r="G94" s="134">
        <v>1.5</v>
      </c>
      <c r="H94" s="134" t="e">
        <f>VLOOKUP(Mapping!#REF!,_Plugs,13,FALSE)</f>
        <v>#REF!</v>
      </c>
      <c r="I94" s="134" t="e">
        <f>VLOOKUP(Mapping!#REF!,_Plugs,14,FALSE)</f>
        <v>#REF!</v>
      </c>
      <c r="J94" s="134" t="e">
        <f>VLOOKUP(Mapping!#REF!,_Plugs,15,FALSE)</f>
        <v>#REF!</v>
      </c>
      <c r="K94" s="134" t="e">
        <f>VLOOKUP(Mapping!#REF!,_Plugs,16,FALSE)</f>
        <v>#REF!</v>
      </c>
      <c r="L94" s="135">
        <v>100</v>
      </c>
      <c r="M94" s="135">
        <v>100</v>
      </c>
      <c r="N94" s="135">
        <v>250</v>
      </c>
      <c r="O94" s="135">
        <v>200</v>
      </c>
      <c r="P94" s="134">
        <v>0.15</v>
      </c>
      <c r="Q94" s="134">
        <v>0.15</v>
      </c>
      <c r="R94" s="135" t="e">
        <f>VLOOKUP(Mapping!#REF!,_ACM05,6,FALSE)</f>
        <v>#REF!</v>
      </c>
      <c r="S94" s="135" t="e">
        <f>VLOOKUP(Mapping!#REF!,_ECB_CS,4,FALSE)</f>
        <v>#REF!</v>
      </c>
      <c r="T94" s="134" t="e">
        <f>VLOOKUP(Mapping!#REF!,_CEUS,2,FALSE)</f>
        <v>#REF!</v>
      </c>
      <c r="U94" s="134" t="e">
        <f>VLOOKUP(Mapping!#REF!,_CEUS,3,FALSE)</f>
        <v>#REF!</v>
      </c>
      <c r="V94" s="32" t="s">
        <v>51</v>
      </c>
      <c r="W94" s="32" t="s">
        <v>38</v>
      </c>
    </row>
    <row r="95" spans="1:23">
      <c r="A95" s="34" t="s">
        <v>516</v>
      </c>
      <c r="B95" s="27" t="s">
        <v>143</v>
      </c>
      <c r="C95" s="26">
        <f>VLOOKUP(Mapping!$E119,_90_1_2001,2,FALSE)</f>
        <v>1.8</v>
      </c>
      <c r="D95" s="26">
        <f>VLOOKUP(Mapping!$D119,_90_1_2007,2,FALSE)</f>
        <v>1.2</v>
      </c>
      <c r="E95" s="26">
        <f>VLOOKUP(Mapping!$C119,_90_1_2010,2,FALSE)</f>
        <v>0.93</v>
      </c>
      <c r="F95" s="26">
        <f>VLOOKUP(Mapping!$C119,_90_1_2010,3,FALSE)</f>
        <v>4</v>
      </c>
      <c r="G95" s="134">
        <v>1.5</v>
      </c>
      <c r="H95" s="134">
        <f>VLOOKUP(Mapping!G119,_Plugs,13,FALSE)</f>
        <v>0.93722970243154469</v>
      </c>
      <c r="I95" s="134">
        <f>VLOOKUP(Mapping!$G119,_Plugs,14,FALSE)</f>
        <v>2</v>
      </c>
      <c r="J95" s="134">
        <f>VLOOKUP(Mapping!$G119,_Plugs,15,FALSE)</f>
        <v>0.54832713754646845</v>
      </c>
      <c r="K95" s="134">
        <f>VLOOKUP(Mapping!$G119,_Plugs,16,FALSE)</f>
        <v>1</v>
      </c>
      <c r="L95" s="135">
        <v>50</v>
      </c>
      <c r="M95" s="135">
        <v>50</v>
      </c>
      <c r="N95" s="135">
        <v>250</v>
      </c>
      <c r="O95" s="135">
        <v>200</v>
      </c>
      <c r="P95" s="134">
        <v>0.15</v>
      </c>
      <c r="Q95" s="134">
        <v>0.15</v>
      </c>
      <c r="R95" s="135">
        <f>VLOOKUP(Mapping!$J119,_ACM05,6,FALSE)</f>
        <v>120</v>
      </c>
      <c r="S95" s="135">
        <f>VLOOKUP(Mapping!$I119,_ECB_CS,4,FALSE)</f>
        <v>300</v>
      </c>
      <c r="T95" s="134">
        <f>VLOOKUP(Mapping!$H119,_CEUS,2,FALSE)</f>
        <v>2.2831050228310501E-2</v>
      </c>
      <c r="U95" s="134">
        <f>VLOOKUP(Mapping!$H119,_CEUS,3,FALSE)</f>
        <v>6.6210045662100453E-2</v>
      </c>
      <c r="V95" s="32" t="s">
        <v>51</v>
      </c>
      <c r="W95" s="32" t="s">
        <v>38</v>
      </c>
    </row>
    <row r="96" spans="1:23">
      <c r="A96" s="34" t="s">
        <v>516</v>
      </c>
      <c r="B96" s="27" t="s">
        <v>144</v>
      </c>
      <c r="C96" s="26">
        <f>VLOOKUP(Mapping!$E120,_90_1_2001,2,FALSE)</f>
        <v>1.9</v>
      </c>
      <c r="D96" s="26">
        <f>VLOOKUP(Mapping!$D120,_90_1_2007,2,FALSE)</f>
        <v>1.7</v>
      </c>
      <c r="E96" s="26">
        <f>VLOOKUP(Mapping!$C120,_90_1_2010,2,FALSE)</f>
        <v>1.71</v>
      </c>
      <c r="F96" s="26">
        <f>VLOOKUP(Mapping!$C120,_90_1_2010,3,FALSE)</f>
        <v>4</v>
      </c>
      <c r="G96" s="134">
        <v>1.5</v>
      </c>
      <c r="H96" s="134">
        <f>VLOOKUP(Mapping!G120,_Plugs,13,FALSE)</f>
        <v>0.93722970243154469</v>
      </c>
      <c r="I96" s="134">
        <f>VLOOKUP(Mapping!$G120,_Plugs,14,FALSE)</f>
        <v>2</v>
      </c>
      <c r="J96" s="134">
        <f>VLOOKUP(Mapping!$G120,_Plugs,15,FALSE)</f>
        <v>0.54832713754646845</v>
      </c>
      <c r="K96" s="134">
        <f>VLOOKUP(Mapping!$G120,_Plugs,16,FALSE)</f>
        <v>1</v>
      </c>
      <c r="L96" s="135">
        <v>100</v>
      </c>
      <c r="M96" s="135">
        <v>100</v>
      </c>
      <c r="N96" s="135">
        <v>250</v>
      </c>
      <c r="O96" s="135">
        <v>200</v>
      </c>
      <c r="P96" s="134">
        <v>0.15</v>
      </c>
      <c r="Q96" s="134">
        <v>0.15</v>
      </c>
      <c r="R96" s="135">
        <f>VLOOKUP(Mapping!$J120,_ACM05,6,FALSE)</f>
        <v>120</v>
      </c>
      <c r="S96" s="135">
        <f>VLOOKUP(Mapping!$I120,_ECB_CS,4,FALSE)</f>
        <v>300</v>
      </c>
      <c r="T96" s="134">
        <f>VLOOKUP(Mapping!$H120,_CEUS,2,FALSE)</f>
        <v>2.2831050228310501E-2</v>
      </c>
      <c r="U96" s="134">
        <f>VLOOKUP(Mapping!$H120,_CEUS,3,FALSE)</f>
        <v>6.6210045662100453E-2</v>
      </c>
      <c r="V96" s="32" t="s">
        <v>51</v>
      </c>
      <c r="W96" s="32" t="s">
        <v>38</v>
      </c>
    </row>
    <row r="97" spans="1:23">
      <c r="A97" s="34" t="s">
        <v>837</v>
      </c>
      <c r="B97" s="27" t="s">
        <v>136</v>
      </c>
      <c r="C97" s="26">
        <f>VLOOKUP(Mapping!$E82,_90_1_2001,2,FALSE)</f>
        <v>1.7</v>
      </c>
      <c r="D97" s="26">
        <f>VLOOKUP(Mapping!$D82,_90_1_2007,2,FALSE)</f>
        <v>1.1000000000000001</v>
      </c>
      <c r="E97" s="26">
        <f>VLOOKUP(Mapping!$C82,_90_1_2010,2,FALSE)</f>
        <v>1.06</v>
      </c>
      <c r="F97" s="26">
        <f>VLOOKUP(Mapping!$C82,_90_1_2010,3,FALSE)</f>
        <v>4</v>
      </c>
      <c r="G97" s="134">
        <v>0.5</v>
      </c>
      <c r="H97" s="134">
        <f>VLOOKUP(Mapping!G82,_Plugs,13,FALSE)</f>
        <v>1.5641288213559472</v>
      </c>
      <c r="I97" s="134">
        <f>VLOOKUP(Mapping!$G82,_Plugs,14,FALSE)</f>
        <v>2</v>
      </c>
      <c r="J97" s="134">
        <f>VLOOKUP(Mapping!$G82,_Plugs,15,FALSE)</f>
        <v>0.29739776951672864</v>
      </c>
      <c r="K97" s="134">
        <f>VLOOKUP(Mapping!$G82,_Plugs,16,FALSE)</f>
        <v>1</v>
      </c>
      <c r="L97" s="135">
        <v>100</v>
      </c>
      <c r="M97" s="135">
        <v>100</v>
      </c>
      <c r="N97" s="135">
        <v>250</v>
      </c>
      <c r="O97" s="135">
        <v>250</v>
      </c>
      <c r="P97" s="134">
        <v>0.15</v>
      </c>
      <c r="Q97" s="134">
        <v>0.15</v>
      </c>
      <c r="R97" s="135">
        <f>VLOOKUP(Mapping!$J82,_ACM05,6,FALSE)</f>
        <v>120</v>
      </c>
      <c r="S97" s="135">
        <f>VLOOKUP(Mapping!$I82,_ECB_CS,4,FALSE)</f>
        <v>100</v>
      </c>
      <c r="T97" s="134">
        <f>VLOOKUP(Mapping!$H82,_CEUS,2,FALSE)</f>
        <v>2.2831050228310501E-2</v>
      </c>
      <c r="U97" s="134">
        <f>VLOOKUP(Mapping!$H82,_CEUS,3,FALSE)</f>
        <v>6.6210045662100453E-2</v>
      </c>
      <c r="V97" s="32" t="s">
        <v>47</v>
      </c>
      <c r="W97" s="32" t="s">
        <v>48</v>
      </c>
    </row>
    <row r="98" spans="1:23">
      <c r="A98" s="34" t="s">
        <v>837</v>
      </c>
      <c r="B98" s="27" t="s">
        <v>145</v>
      </c>
      <c r="C98" s="26">
        <f>VLOOKUP(Mapping!$E85,_90_1_2001,2,FALSE)</f>
        <v>1.8</v>
      </c>
      <c r="D98" s="26">
        <f>VLOOKUP(Mapping!$D85,_90_1_2007,2,FALSE)</f>
        <v>1.3</v>
      </c>
      <c r="E98" s="26">
        <f>VLOOKUP(Mapping!$C85,_90_1_2010,2,FALSE)</f>
        <v>0.9</v>
      </c>
      <c r="F98" s="26">
        <f>VLOOKUP(Mapping!$C85,_90_1_2010,3,FALSE)</f>
        <v>4</v>
      </c>
      <c r="G98" s="134">
        <v>0.5</v>
      </c>
      <c r="H98" s="134" t="str">
        <f>VLOOKUP(Mapping!G85,_Plugs,13,FALSE)</f>
        <v>UWBD</v>
      </c>
      <c r="I98" s="134" t="str">
        <f>VLOOKUP(Mapping!$G85,_Plugs,14,FALSE)</f>
        <v>UWBD</v>
      </c>
      <c r="J98" s="134" t="str">
        <f>VLOOKUP(Mapping!$G85,_Plugs,15,FALSE)</f>
        <v>UWBD</v>
      </c>
      <c r="K98" s="134" t="str">
        <f>VLOOKUP(Mapping!$G85,_Plugs,16,FALSE)</f>
        <v>UWBD</v>
      </c>
      <c r="L98" s="135">
        <v>100</v>
      </c>
      <c r="M98" s="135">
        <v>100</v>
      </c>
      <c r="N98" s="135">
        <v>250</v>
      </c>
      <c r="O98" s="135">
        <v>250</v>
      </c>
      <c r="P98" s="134">
        <v>0.15</v>
      </c>
      <c r="Q98" s="134">
        <v>0.15</v>
      </c>
      <c r="R98" s="135">
        <f>VLOOKUP(Mapping!$J85,_ACM05,6,FALSE)</f>
        <v>60</v>
      </c>
      <c r="S98" s="135">
        <f>VLOOKUP(Mapping!$I85,_ECB_CS,4,FALSE)</f>
        <v>100</v>
      </c>
      <c r="T98" s="134">
        <f>VLOOKUP(Mapping!$H85,_CEUS,2,FALSE)</f>
        <v>2.2831050228310501E-2</v>
      </c>
      <c r="U98" s="134">
        <f>VLOOKUP(Mapping!$H85,_CEUS,3,FALSE)</f>
        <v>6.6210045662100453E-2</v>
      </c>
      <c r="V98" s="32" t="s">
        <v>51</v>
      </c>
      <c r="W98" s="32" t="s">
        <v>38</v>
      </c>
    </row>
    <row r="99" spans="1:23">
      <c r="A99" s="34" t="s">
        <v>837</v>
      </c>
      <c r="B99" s="27" t="s">
        <v>146</v>
      </c>
      <c r="C99" s="26">
        <f>VLOOKUP(Mapping!$E81,_90_1_2001,2,FALSE)</f>
        <v>1.8</v>
      </c>
      <c r="D99" s="26">
        <f>VLOOKUP(Mapping!$D81,_90_1_2007,2,FALSE)</f>
        <v>1.3</v>
      </c>
      <c r="E99" s="26">
        <f>VLOOKUP(Mapping!$C81,_90_1_2010,2,FALSE)</f>
        <v>0.64</v>
      </c>
      <c r="F99" s="26">
        <f>VLOOKUP(Mapping!$C81,_90_1_2010,3,FALSE)</f>
        <v>6</v>
      </c>
      <c r="G99" s="134">
        <v>0.5</v>
      </c>
      <c r="H99" s="134" t="str">
        <f>VLOOKUP(Mapping!G81,_Plugs,13,FALSE)</f>
        <v>UWBD</v>
      </c>
      <c r="I99" s="134" t="str">
        <f>VLOOKUP(Mapping!$G81,_Plugs,14,FALSE)</f>
        <v>UWBD</v>
      </c>
      <c r="J99" s="134" t="str">
        <f>VLOOKUP(Mapping!$G81,_Plugs,15,FALSE)</f>
        <v>UWBD</v>
      </c>
      <c r="K99" s="134" t="str">
        <f>VLOOKUP(Mapping!$G81,_Plugs,16,FALSE)</f>
        <v>UWBD</v>
      </c>
      <c r="L99" s="135">
        <v>100</v>
      </c>
      <c r="M99" s="135">
        <v>100</v>
      </c>
      <c r="N99" s="135">
        <v>250</v>
      </c>
      <c r="O99" s="135">
        <v>250</v>
      </c>
      <c r="P99" s="134">
        <v>0.15</v>
      </c>
      <c r="Q99" s="134">
        <v>0.15</v>
      </c>
      <c r="R99" s="135">
        <f>VLOOKUP(Mapping!$J81,_ACM05,6,FALSE)</f>
        <v>60</v>
      </c>
      <c r="S99" s="135">
        <f>VLOOKUP(Mapping!$I81,_ECB_CS,4,FALSE)</f>
        <v>100</v>
      </c>
      <c r="T99" s="134">
        <f>VLOOKUP(Mapping!$H81,_CEUS,2,FALSE)</f>
        <v>2.2831050228310501E-2</v>
      </c>
      <c r="U99" s="134">
        <f>VLOOKUP(Mapping!$H81,_CEUS,3,FALSE)</f>
        <v>6.6210045662100453E-2</v>
      </c>
      <c r="V99" s="32" t="s">
        <v>51</v>
      </c>
      <c r="W99" s="32" t="s">
        <v>38</v>
      </c>
    </row>
    <row r="100" spans="1:23">
      <c r="A100" s="34" t="s">
        <v>837</v>
      </c>
      <c r="B100" s="27" t="s">
        <v>165</v>
      </c>
      <c r="C100" s="26" t="e">
        <f>VLOOKUP(Mapping!#REF!,_90_1_2001,2,FALSE)</f>
        <v>#REF!</v>
      </c>
      <c r="D100" s="26" t="e">
        <f>VLOOKUP(Mapping!#REF!,_90_1_2007,2,FALSE)</f>
        <v>#REF!</v>
      </c>
      <c r="E100" s="26" t="e">
        <f>VLOOKUP(Mapping!#REF!,_90_1_2010,2,FALSE)</f>
        <v>#REF!</v>
      </c>
      <c r="F100" s="26" t="e">
        <f>VLOOKUP(Mapping!#REF!,_90_1_2010,3,FALSE)</f>
        <v>#REF!</v>
      </c>
      <c r="G100" s="134">
        <v>1</v>
      </c>
      <c r="H100" s="134" t="e">
        <f>VLOOKUP(Mapping!#REF!,_Plugs,13,FALSE)</f>
        <v>#REF!</v>
      </c>
      <c r="I100" s="134" t="e">
        <f>VLOOKUP(Mapping!#REF!,_Plugs,14,FALSE)</f>
        <v>#REF!</v>
      </c>
      <c r="J100" s="134" t="e">
        <f>VLOOKUP(Mapping!#REF!,_Plugs,15,FALSE)</f>
        <v>#REF!</v>
      </c>
      <c r="K100" s="134" t="e">
        <f>VLOOKUP(Mapping!#REF!,_Plugs,16,FALSE)</f>
        <v>#REF!</v>
      </c>
      <c r="L100" s="135">
        <v>7</v>
      </c>
      <c r="M100" s="135">
        <v>9</v>
      </c>
      <c r="N100" s="135">
        <v>245</v>
      </c>
      <c r="O100" s="135">
        <v>105</v>
      </c>
      <c r="P100" s="134">
        <v>1.07</v>
      </c>
      <c r="Q100" s="134">
        <v>1.07</v>
      </c>
      <c r="R100" s="135" t="e">
        <f>VLOOKUP(Mapping!#REF!,_ACM05,6,FALSE)</f>
        <v>#REF!</v>
      </c>
      <c r="S100" s="135" t="e">
        <f>VLOOKUP(Mapping!#REF!,_ECB_CS,4,FALSE)</f>
        <v>#REF!</v>
      </c>
      <c r="T100" s="134" t="e">
        <f>VLOOKUP(Mapping!#REF!,_CEUS,2,FALSE)</f>
        <v>#REF!</v>
      </c>
      <c r="U100" s="134" t="e">
        <f>VLOOKUP(Mapping!#REF!,_CEUS,3,FALSE)</f>
        <v>#REF!</v>
      </c>
      <c r="V100" s="32" t="s">
        <v>51</v>
      </c>
      <c r="W100" s="32" t="s">
        <v>38</v>
      </c>
    </row>
    <row r="101" spans="1:23">
      <c r="A101" s="34" t="s">
        <v>837</v>
      </c>
      <c r="B101" s="27" t="s">
        <v>178</v>
      </c>
      <c r="C101" s="26" t="e">
        <f>VLOOKUP(Mapping!#REF!,_90_1_2001,2,FALSE)</f>
        <v>#REF!</v>
      </c>
      <c r="D101" s="26" t="e">
        <f>VLOOKUP(Mapping!#REF!,_90_1_2007,2,FALSE)</f>
        <v>#REF!</v>
      </c>
      <c r="E101" s="26" t="e">
        <f>VLOOKUP(Mapping!#REF!,_90_1_2010,2,FALSE)</f>
        <v>#REF!</v>
      </c>
      <c r="F101" s="26" t="e">
        <f>VLOOKUP(Mapping!#REF!,_90_1_2010,3,FALSE)</f>
        <v>#REF!</v>
      </c>
      <c r="G101" s="134">
        <v>1</v>
      </c>
      <c r="H101" s="134" t="e">
        <f>VLOOKUP(Mapping!#REF!,_Plugs,13,FALSE)</f>
        <v>#REF!</v>
      </c>
      <c r="I101" s="134" t="e">
        <f>VLOOKUP(Mapping!#REF!,_Plugs,14,FALSE)</f>
        <v>#REF!</v>
      </c>
      <c r="J101" s="134" t="e">
        <f>VLOOKUP(Mapping!#REF!,_Plugs,15,FALSE)</f>
        <v>#REF!</v>
      </c>
      <c r="K101" s="134" t="e">
        <f>VLOOKUP(Mapping!#REF!,_Plugs,16,FALSE)</f>
        <v>#REF!</v>
      </c>
      <c r="L101" s="135">
        <v>7</v>
      </c>
      <c r="M101" s="135">
        <v>9</v>
      </c>
      <c r="N101" s="135">
        <v>245</v>
      </c>
      <c r="O101" s="135">
        <v>105</v>
      </c>
      <c r="P101" s="134">
        <v>1.07</v>
      </c>
      <c r="Q101" s="134">
        <v>1.07</v>
      </c>
      <c r="R101" s="135" t="e">
        <f>VLOOKUP(Mapping!#REF!,_ACM05,6,FALSE)</f>
        <v>#REF!</v>
      </c>
      <c r="S101" s="135" t="e">
        <f>VLOOKUP(Mapping!#REF!,_ECB_CS,4,FALSE)</f>
        <v>#REF!</v>
      </c>
      <c r="T101" s="134" t="e">
        <f>VLOOKUP(Mapping!#REF!,_CEUS,2,FALSE)</f>
        <v>#REF!</v>
      </c>
      <c r="U101" s="134" t="e">
        <f>VLOOKUP(Mapping!#REF!,_CEUS,3,FALSE)</f>
        <v>#REF!</v>
      </c>
      <c r="V101" s="32" t="s">
        <v>51</v>
      </c>
      <c r="W101" s="32" t="s">
        <v>38</v>
      </c>
    </row>
    <row r="102" spans="1:23">
      <c r="A102" s="34" t="s">
        <v>837</v>
      </c>
      <c r="B102" s="27" t="s">
        <v>188</v>
      </c>
      <c r="C102" s="26">
        <f>VLOOKUP(Mapping!$E137,_90_1_2001,2,FALSE)</f>
        <v>1.3</v>
      </c>
      <c r="D102" s="26">
        <f>VLOOKUP(Mapping!$D137,_90_1_2007,2,FALSE)</f>
        <v>1</v>
      </c>
      <c r="E102" s="26">
        <f>VLOOKUP(Mapping!$C137,_90_1_2010,2,FALSE)</f>
        <v>0.76</v>
      </c>
      <c r="F102" s="26">
        <f>VLOOKUP(Mapping!$C137,_90_1_2010,3,FALSE)</f>
        <v>4</v>
      </c>
      <c r="G102" s="134">
        <v>0.5</v>
      </c>
      <c r="H102" s="134">
        <f>VLOOKUP(Mapping!G137,_Plugs,13,FALSE)</f>
        <v>0.76224769399973591</v>
      </c>
      <c r="I102" s="134">
        <f>VLOOKUP(Mapping!$G137,_Plugs,14,FALSE)</f>
        <v>2</v>
      </c>
      <c r="J102" s="134">
        <f>VLOOKUP(Mapping!$G137,_Plugs,15,FALSE)</f>
        <v>0.54832713754646845</v>
      </c>
      <c r="K102" s="134">
        <f>VLOOKUP(Mapping!$G137,_Plugs,16,FALSE)</f>
        <v>1</v>
      </c>
      <c r="L102" s="135">
        <v>30</v>
      </c>
      <c r="M102" s="135">
        <v>60</v>
      </c>
      <c r="N102" s="135">
        <v>250</v>
      </c>
      <c r="O102" s="135">
        <v>250</v>
      </c>
      <c r="P102" s="134">
        <v>0.25</v>
      </c>
      <c r="Q102" s="134">
        <v>0.25</v>
      </c>
      <c r="R102" s="135">
        <f>VLOOKUP(Mapping!$J137,_ACM05,6,FALSE)</f>
        <v>120</v>
      </c>
      <c r="S102" s="135">
        <f>VLOOKUP(Mapping!$I137,_ECB_CS,4,FALSE)</f>
        <v>215</v>
      </c>
      <c r="T102" s="134">
        <f>VLOOKUP(Mapping!$H137,_CEUS,2,FALSE)</f>
        <v>2.2831050228310501E-2</v>
      </c>
      <c r="U102" s="134">
        <f>VLOOKUP(Mapping!$H137,_CEUS,3,FALSE)</f>
        <v>6.6210045662100453E-2</v>
      </c>
      <c r="V102" s="32" t="s">
        <v>51</v>
      </c>
      <c r="W102" s="32" t="s">
        <v>38</v>
      </c>
    </row>
    <row r="103" spans="1:23">
      <c r="A103" s="34" t="s">
        <v>837</v>
      </c>
      <c r="B103" s="27" t="s">
        <v>189</v>
      </c>
      <c r="C103" s="26">
        <f>VLOOKUP(Mapping!$E138,_90_1_2001,2,FALSE)</f>
        <v>0.7</v>
      </c>
      <c r="D103" s="26">
        <f>VLOOKUP(Mapping!$D138,_90_1_2007,2,FALSE)</f>
        <v>0.6</v>
      </c>
      <c r="E103" s="26">
        <f>VLOOKUP(Mapping!$C138,_90_1_2010,2,FALSE)</f>
        <v>0.36</v>
      </c>
      <c r="F103" s="26">
        <f>VLOOKUP(Mapping!$C138,_90_1_2010,3,FALSE)</f>
        <v>4</v>
      </c>
      <c r="G103" s="134">
        <v>0.5</v>
      </c>
      <c r="H103" s="134">
        <f>VLOOKUP(Mapping!G138,_Plugs,13,FALSE)</f>
        <v>0.76224769399973591</v>
      </c>
      <c r="I103" s="134">
        <f>VLOOKUP(Mapping!$G138,_Plugs,14,FALSE)</f>
        <v>2</v>
      </c>
      <c r="J103" s="134">
        <f>VLOOKUP(Mapping!$G138,_Plugs,15,FALSE)</f>
        <v>0.54832713754646845</v>
      </c>
      <c r="K103" s="134">
        <f>VLOOKUP(Mapping!$G138,_Plugs,16,FALSE)</f>
        <v>1</v>
      </c>
      <c r="L103" s="135">
        <v>30</v>
      </c>
      <c r="M103" s="135">
        <v>60</v>
      </c>
      <c r="N103" s="135">
        <v>250</v>
      </c>
      <c r="O103" s="135">
        <v>250</v>
      </c>
      <c r="P103" s="134">
        <v>0.25</v>
      </c>
      <c r="Q103" s="134">
        <v>0.25</v>
      </c>
      <c r="R103" s="135">
        <f>VLOOKUP(Mapping!$J138,_ACM05,6,FALSE)</f>
        <v>120</v>
      </c>
      <c r="S103" s="135">
        <f>VLOOKUP(Mapping!$I138,_ECB_CS,4,FALSE)</f>
        <v>215</v>
      </c>
      <c r="T103" s="134">
        <f>VLOOKUP(Mapping!$H138,_CEUS,2,FALSE)</f>
        <v>2.2831050228310501E-2</v>
      </c>
      <c r="U103" s="134">
        <f>VLOOKUP(Mapping!$H138,_CEUS,3,FALSE)</f>
        <v>6.6210045662100453E-2</v>
      </c>
      <c r="V103" s="32" t="s">
        <v>51</v>
      </c>
      <c r="W103" s="32" t="s">
        <v>38</v>
      </c>
    </row>
    <row r="104" spans="1:23">
      <c r="A104" s="34" t="s">
        <v>837</v>
      </c>
      <c r="B104" s="27" t="s">
        <v>190</v>
      </c>
      <c r="C104" s="26" t="e">
        <f>VLOOKUP(Mapping!#REF!,_90_1_2001,2,FALSE)</f>
        <v>#REF!</v>
      </c>
      <c r="D104" s="26" t="e">
        <f>VLOOKUP(Mapping!#REF!,_90_1_2007,2,FALSE)</f>
        <v>#REF!</v>
      </c>
      <c r="E104" s="26" t="e">
        <f>VLOOKUP(Mapping!#REF!,_90_1_2010,2,FALSE)</f>
        <v>#REF!</v>
      </c>
      <c r="F104" s="26" t="e">
        <f>VLOOKUP(Mapping!#REF!,_90_1_2010,3,FALSE)</f>
        <v>#REF!</v>
      </c>
      <c r="G104" s="134">
        <v>0.5</v>
      </c>
      <c r="H104" s="134" t="e">
        <f>VLOOKUP(Mapping!#REF!,_Plugs,13,FALSE)</f>
        <v>#REF!</v>
      </c>
      <c r="I104" s="134" t="e">
        <f>VLOOKUP(Mapping!#REF!,_Plugs,14,FALSE)</f>
        <v>#REF!</v>
      </c>
      <c r="J104" s="134" t="e">
        <f>VLOOKUP(Mapping!#REF!,_Plugs,15,FALSE)</f>
        <v>#REF!</v>
      </c>
      <c r="K104" s="134" t="e">
        <f>VLOOKUP(Mapping!#REF!,_Plugs,16,FALSE)</f>
        <v>#REF!</v>
      </c>
      <c r="L104" s="135">
        <v>30</v>
      </c>
      <c r="M104" s="135">
        <v>60</v>
      </c>
      <c r="N104" s="135">
        <v>250</v>
      </c>
      <c r="O104" s="135">
        <v>250</v>
      </c>
      <c r="P104" s="134">
        <v>0.25</v>
      </c>
      <c r="Q104" s="134">
        <v>0.25</v>
      </c>
      <c r="R104" s="135" t="e">
        <f>VLOOKUP(Mapping!#REF!,_ACM05,6,FALSE)</f>
        <v>#REF!</v>
      </c>
      <c r="S104" s="135" t="e">
        <f>VLOOKUP(Mapping!#REF!,_ECB_CS,4,FALSE)</f>
        <v>#REF!</v>
      </c>
      <c r="T104" s="134" t="e">
        <f>VLOOKUP(Mapping!#REF!,_CEUS,2,FALSE)</f>
        <v>#REF!</v>
      </c>
      <c r="U104" s="134" t="e">
        <f>VLOOKUP(Mapping!#REF!,_CEUS,3,FALSE)</f>
        <v>#REF!</v>
      </c>
      <c r="V104" s="32" t="s">
        <v>51</v>
      </c>
      <c r="W104" s="32" t="s">
        <v>38</v>
      </c>
    </row>
    <row r="105" spans="1:23">
      <c r="A105" s="34" t="s">
        <v>837</v>
      </c>
      <c r="B105" s="27" t="s">
        <v>191</v>
      </c>
      <c r="C105" s="26">
        <f>VLOOKUP(Mapping!$E139,_90_1_2001,2,FALSE)</f>
        <v>1.8</v>
      </c>
      <c r="D105" s="26">
        <f>VLOOKUP(Mapping!$D139,_90_1_2007,2,FALSE)</f>
        <v>1.5</v>
      </c>
      <c r="E105" s="26">
        <f>VLOOKUP(Mapping!$C139,_90_1_2010,2,FALSE)</f>
        <v>1.08</v>
      </c>
      <c r="F105" s="26">
        <f>VLOOKUP(Mapping!$C139,_90_1_2010,3,FALSE)</f>
        <v>4</v>
      </c>
      <c r="G105" s="134">
        <v>0.5</v>
      </c>
      <c r="H105" s="134">
        <f>VLOOKUP(Mapping!G139,_Plugs,13,FALSE)</f>
        <v>0.76224769399973591</v>
      </c>
      <c r="I105" s="134">
        <f>VLOOKUP(Mapping!$G139,_Plugs,14,FALSE)</f>
        <v>2</v>
      </c>
      <c r="J105" s="134">
        <f>VLOOKUP(Mapping!$G139,_Plugs,15,FALSE)</f>
        <v>0.54832713754646845</v>
      </c>
      <c r="K105" s="134">
        <f>VLOOKUP(Mapping!$G139,_Plugs,16,FALSE)</f>
        <v>1</v>
      </c>
      <c r="L105" s="135">
        <v>30</v>
      </c>
      <c r="M105" s="135">
        <v>60</v>
      </c>
      <c r="N105" s="135">
        <v>250</v>
      </c>
      <c r="O105" s="135">
        <v>250</v>
      </c>
      <c r="P105" s="134">
        <v>0.25</v>
      </c>
      <c r="Q105" s="134">
        <v>0.25</v>
      </c>
      <c r="R105" s="135">
        <f>VLOOKUP(Mapping!$J139,_ACM05,6,FALSE)</f>
        <v>120</v>
      </c>
      <c r="S105" s="135">
        <f>VLOOKUP(Mapping!$I139,_ECB_CS,4,FALSE)</f>
        <v>215</v>
      </c>
      <c r="T105" s="134">
        <f>VLOOKUP(Mapping!$H139,_CEUS,2,FALSE)</f>
        <v>2.2831050228310501E-2</v>
      </c>
      <c r="U105" s="134">
        <f>VLOOKUP(Mapping!$H139,_CEUS,3,FALSE)</f>
        <v>6.6210045662100453E-2</v>
      </c>
      <c r="V105" s="32" t="s">
        <v>51</v>
      </c>
      <c r="W105" s="32" t="s">
        <v>38</v>
      </c>
    </row>
    <row r="106" spans="1:23">
      <c r="A106" s="34" t="s">
        <v>470</v>
      </c>
      <c r="B106" s="27" t="s">
        <v>90</v>
      </c>
      <c r="C106" s="26">
        <f>VLOOKUP(Mapping!$E39,_90_1_2001,2,FALSE)</f>
        <v>1.6</v>
      </c>
      <c r="D106" s="26">
        <f>VLOOKUP(Mapping!$D39,_90_1_2007,2,FALSE)</f>
        <v>0.9</v>
      </c>
      <c r="E106" s="26">
        <f>VLOOKUP(Mapping!$C39,_90_1_2010,2,FALSE)</f>
        <v>0.79</v>
      </c>
      <c r="F106" s="26">
        <f>VLOOKUP(Mapping!$C39,_90_1_2010,3,FALSE)</f>
        <v>6</v>
      </c>
      <c r="G106" s="134">
        <v>1</v>
      </c>
      <c r="H106" s="134">
        <f>VLOOKUP(Mapping!G39,_Plugs,13,FALSE)</f>
        <v>0.74760799257268662</v>
      </c>
      <c r="I106" s="134">
        <f>VLOOKUP(Mapping!$G39,_Plugs,14,FALSE)</f>
        <v>2</v>
      </c>
      <c r="J106" s="134">
        <f>VLOOKUP(Mapping!$G39,_Plugs,15,FALSE)</f>
        <v>0.54832713754646845</v>
      </c>
      <c r="K106" s="134">
        <f>VLOOKUP(Mapping!$G39,_Plugs,16,FALSE)</f>
        <v>1</v>
      </c>
      <c r="L106" s="135">
        <v>7</v>
      </c>
      <c r="M106" s="135">
        <v>9</v>
      </c>
      <c r="N106" s="135">
        <v>245</v>
      </c>
      <c r="O106" s="135">
        <v>105</v>
      </c>
      <c r="P106" s="134">
        <v>1.07</v>
      </c>
      <c r="Q106" s="134">
        <v>1.07</v>
      </c>
      <c r="R106" s="135">
        <f>VLOOKUP(Mapping!$J39,_ACM05,6,FALSE)</f>
        <v>60</v>
      </c>
      <c r="S106" s="135">
        <f>VLOOKUP(Mapping!$I39,_ECB_CS,4,FALSE)</f>
        <v>100</v>
      </c>
      <c r="T106" s="134">
        <f>VLOOKUP(Mapping!$H39,_CEUS,2,FALSE)</f>
        <v>2.2831050228310501E-2</v>
      </c>
      <c r="U106" s="134">
        <f>VLOOKUP(Mapping!$H39,_CEUS,3,FALSE)</f>
        <v>6.6210045662100453E-2</v>
      </c>
      <c r="V106" s="32" t="s">
        <v>51</v>
      </c>
      <c r="W106" s="32" t="s">
        <v>38</v>
      </c>
    </row>
    <row r="107" spans="1:23">
      <c r="A107" s="34" t="s">
        <v>470</v>
      </c>
      <c r="B107" s="27" t="s">
        <v>91</v>
      </c>
      <c r="C107" s="26">
        <f>VLOOKUP(Mapping!$E40,_90_1_2001,2,FALSE)</f>
        <v>0.5</v>
      </c>
      <c r="D107" s="26">
        <f>VLOOKUP(Mapping!$D40,_90_1_2007,2,FALSE)</f>
        <v>0.7</v>
      </c>
      <c r="E107" s="26">
        <f>VLOOKUP(Mapping!$C40,_90_1_2010,2,FALSE)</f>
        <v>0.82</v>
      </c>
      <c r="F107" s="26">
        <f>VLOOKUP(Mapping!$C40,_90_1_2010,3,FALSE)</f>
        <v>4</v>
      </c>
      <c r="G107" s="134">
        <v>1</v>
      </c>
      <c r="H107" s="134">
        <f>VLOOKUP(Mapping!G40,_Plugs,13,FALSE)</f>
        <v>0.74760799257268662</v>
      </c>
      <c r="I107" s="134">
        <f>VLOOKUP(Mapping!$G40,_Plugs,14,FALSE)</f>
        <v>2</v>
      </c>
      <c r="J107" s="134">
        <f>VLOOKUP(Mapping!$G40,_Plugs,15,FALSE)</f>
        <v>0.54832713754646845</v>
      </c>
      <c r="K107" s="134">
        <f>VLOOKUP(Mapping!$G40,_Plugs,16,FALSE)</f>
        <v>1</v>
      </c>
      <c r="L107" s="135">
        <v>333</v>
      </c>
      <c r="M107" s="135">
        <v>5000</v>
      </c>
      <c r="N107" s="135">
        <v>275</v>
      </c>
      <c r="O107" s="135">
        <v>475</v>
      </c>
      <c r="P107" s="134">
        <v>0.15</v>
      </c>
      <c r="Q107" s="134">
        <v>0.15</v>
      </c>
      <c r="R107" s="135">
        <f>VLOOKUP(Mapping!$J40,_ACM05,6,FALSE)</f>
        <v>60</v>
      </c>
      <c r="S107" s="135">
        <f>VLOOKUP(Mapping!$I40,_ECB_CS,4,FALSE)</f>
        <v>150</v>
      </c>
      <c r="T107" s="134">
        <f>VLOOKUP(Mapping!$H40,_CEUS,2,FALSE)</f>
        <v>2.2831050228310501E-2</v>
      </c>
      <c r="U107" s="134">
        <f>VLOOKUP(Mapping!$H40,_CEUS,3,FALSE)</f>
        <v>6.6210045662100453E-2</v>
      </c>
      <c r="V107" s="32" t="s">
        <v>51</v>
      </c>
      <c r="W107" s="32" t="s">
        <v>38</v>
      </c>
    </row>
    <row r="108" spans="1:23">
      <c r="A108" s="34" t="s">
        <v>470</v>
      </c>
      <c r="B108" s="27" t="s">
        <v>92</v>
      </c>
      <c r="C108" s="26">
        <f>VLOOKUP(Mapping!$E41,_90_1_2001,2,FALSE)</f>
        <v>0.5</v>
      </c>
      <c r="D108" s="26">
        <f>VLOOKUP(Mapping!$D41,_90_1_2007,2,FALSE)</f>
        <v>0.3</v>
      </c>
      <c r="E108" s="26">
        <f>VLOOKUP(Mapping!$C41,_90_1_2010,2,FALSE)</f>
        <v>0.43</v>
      </c>
      <c r="F108" s="26">
        <f>VLOOKUP(Mapping!$C41,_90_1_2010,3,FALSE)</f>
        <v>6</v>
      </c>
      <c r="G108" s="134">
        <v>1</v>
      </c>
      <c r="H108" s="134">
        <f>VLOOKUP(Mapping!G41,_Plugs,13,FALSE)</f>
        <v>0.67424666522690402</v>
      </c>
      <c r="I108" s="134">
        <f>VLOOKUP(Mapping!$G41,_Plugs,14,FALSE)</f>
        <v>2</v>
      </c>
      <c r="J108" s="134">
        <f>VLOOKUP(Mapping!$G41,_Plugs,15,FALSE)</f>
        <v>0.54832713754646845</v>
      </c>
      <c r="K108" s="134">
        <f>VLOOKUP(Mapping!$G41,_Plugs,16,FALSE)</f>
        <v>1</v>
      </c>
      <c r="L108" s="135">
        <v>7</v>
      </c>
      <c r="M108" s="135">
        <v>9</v>
      </c>
      <c r="N108" s="135">
        <v>245</v>
      </c>
      <c r="O108" s="135">
        <v>105</v>
      </c>
      <c r="P108" s="134">
        <v>1.07</v>
      </c>
      <c r="Q108" s="134">
        <v>1.07</v>
      </c>
      <c r="R108" s="135">
        <f>VLOOKUP(Mapping!$J41,_ACM05,6,FALSE)</f>
        <v>120</v>
      </c>
      <c r="S108" s="135">
        <f>VLOOKUP(Mapping!$I41,_ECB_CS,4,FALSE)</f>
        <v>100</v>
      </c>
      <c r="T108" s="134">
        <f>VLOOKUP(Mapping!$H41,_CEUS,2,FALSE)</f>
        <v>2.2831050228310501E-2</v>
      </c>
      <c r="U108" s="134">
        <f>VLOOKUP(Mapping!$H41,_CEUS,3,FALSE)</f>
        <v>6.6210045662100453E-2</v>
      </c>
      <c r="V108" s="32" t="s">
        <v>51</v>
      </c>
      <c r="W108" s="32" t="s">
        <v>38</v>
      </c>
    </row>
    <row r="109" spans="1:23">
      <c r="A109" s="34" t="s">
        <v>470</v>
      </c>
      <c r="B109" s="27" t="s">
        <v>98</v>
      </c>
      <c r="C109" s="26">
        <f>VLOOKUP(Mapping!$E64,_90_1_2001,2,FALSE)</f>
        <v>0.8</v>
      </c>
      <c r="D109" s="26">
        <f>VLOOKUP(Mapping!$D64,_90_1_2007,2,FALSE)</f>
        <v>1.2</v>
      </c>
      <c r="E109" s="26">
        <f>VLOOKUP(Mapping!$C64,_90_1_2010,2,FALSE)</f>
        <v>0.95</v>
      </c>
      <c r="F109" s="26">
        <f>VLOOKUP(Mapping!$C64,_90_1_2010,3,FALSE)</f>
        <v>6</v>
      </c>
      <c r="G109" s="134">
        <v>1</v>
      </c>
      <c r="H109" s="134" t="str">
        <f>VLOOKUP(Mapping!G64,_Plugs,13,FALSE)</f>
        <v>n.a.</v>
      </c>
      <c r="I109" s="134" t="str">
        <f>VLOOKUP(Mapping!$G64,_Plugs,14,FALSE)</f>
        <v>n.a.</v>
      </c>
      <c r="J109" s="134" t="str">
        <f>VLOOKUP(Mapping!$G64,_Plugs,15,FALSE)</f>
        <v>n.a.</v>
      </c>
      <c r="K109" s="134" t="str">
        <f>VLOOKUP(Mapping!$G64,_Plugs,16,FALSE)</f>
        <v>n.a.</v>
      </c>
      <c r="L109" s="135">
        <v>7</v>
      </c>
      <c r="M109" s="135">
        <v>9</v>
      </c>
      <c r="N109" s="135">
        <v>245</v>
      </c>
      <c r="O109" s="135">
        <v>105</v>
      </c>
      <c r="P109" s="134">
        <v>1.07</v>
      </c>
      <c r="Q109" s="134">
        <v>1.07</v>
      </c>
      <c r="R109" s="135">
        <f>VLOOKUP(Mapping!$J64,_ACM05,6,FALSE)</f>
        <v>120</v>
      </c>
      <c r="S109" s="135" t="str">
        <f>VLOOKUP(Mapping!$I64,_ECB_CS,4,FALSE)</f>
        <v>n.a.</v>
      </c>
      <c r="T109" s="134" t="str">
        <f>VLOOKUP(Mapping!$H64,_CEUS,2,FALSE)</f>
        <v>n.a.</v>
      </c>
      <c r="U109" s="134" t="str">
        <f>VLOOKUP(Mapping!$H64,_CEUS,3,FALSE)</f>
        <v>n.a.</v>
      </c>
      <c r="V109" s="32" t="s">
        <v>51</v>
      </c>
      <c r="W109" s="32" t="s">
        <v>38</v>
      </c>
    </row>
    <row r="110" spans="1:23">
      <c r="A110" s="34" t="s">
        <v>470</v>
      </c>
      <c r="B110" s="27" t="s">
        <v>99</v>
      </c>
      <c r="C110" s="26">
        <f>VLOOKUP(Mapping!$E105,_90_1_2001,2,FALSE)</f>
        <v>3.3</v>
      </c>
      <c r="D110" s="26">
        <f>VLOOKUP(Mapping!$D105,_90_1_2007,2,FALSE)</f>
        <v>1.3</v>
      </c>
      <c r="E110" s="26">
        <f>VLOOKUP(Mapping!$C105,_90_1_2010,2,FALSE)</f>
        <v>1.45</v>
      </c>
      <c r="F110" s="26">
        <f>VLOOKUP(Mapping!$C105,_90_1_2010,3,FALSE)</f>
        <v>4</v>
      </c>
      <c r="G110" s="134">
        <v>1</v>
      </c>
      <c r="H110" s="134">
        <f>VLOOKUP(Mapping!G105,_Plugs,13,FALSE)</f>
        <v>0.74760799257268662</v>
      </c>
      <c r="I110" s="134">
        <f>VLOOKUP(Mapping!$G105,_Plugs,14,FALSE)</f>
        <v>2</v>
      </c>
      <c r="J110" s="134">
        <f>VLOOKUP(Mapping!$G105,_Plugs,15,FALSE)</f>
        <v>0.54832713754646845</v>
      </c>
      <c r="K110" s="134">
        <f>VLOOKUP(Mapping!$G105,_Plugs,16,FALSE)</f>
        <v>1</v>
      </c>
      <c r="L110" s="135">
        <v>15</v>
      </c>
      <c r="M110" s="135">
        <v>30</v>
      </c>
      <c r="N110" s="135">
        <v>245</v>
      </c>
      <c r="O110" s="135">
        <v>155</v>
      </c>
      <c r="P110" s="134">
        <v>0.15</v>
      </c>
      <c r="Q110" s="134">
        <v>0.15</v>
      </c>
      <c r="R110" s="135">
        <f>VLOOKUP(Mapping!$J105,_ACM05,6,FALSE)</f>
        <v>60</v>
      </c>
      <c r="S110" s="135">
        <f>VLOOKUP(Mapping!$I105,_ECB_CS,4,FALSE)</f>
        <v>100</v>
      </c>
      <c r="T110" s="134">
        <f>VLOOKUP(Mapping!$H105,_CEUS,2,FALSE)</f>
        <v>2.2831050228310501E-2</v>
      </c>
      <c r="U110" s="134">
        <f>VLOOKUP(Mapping!$H105,_CEUS,3,FALSE)</f>
        <v>6.6210045662100453E-2</v>
      </c>
      <c r="V110" s="32" t="s">
        <v>51</v>
      </c>
      <c r="W110" s="32" t="s">
        <v>38</v>
      </c>
    </row>
    <row r="111" spans="1:23">
      <c r="A111" s="34" t="s">
        <v>496</v>
      </c>
      <c r="B111" s="27" t="s">
        <v>115</v>
      </c>
      <c r="C111" s="26">
        <f>VLOOKUP(Mapping!$E108,_90_1_2001,2,FALSE)</f>
        <v>1.1000000000000001</v>
      </c>
      <c r="D111" s="26">
        <f>VLOOKUP(Mapping!$D108,_90_1_2007,2,FALSE)</f>
        <v>0.9</v>
      </c>
      <c r="E111" s="26">
        <f>VLOOKUP(Mapping!$C108,_90_1_2010,2,FALSE)</f>
        <v>0.72</v>
      </c>
      <c r="F111" s="26">
        <f>VLOOKUP(Mapping!$C108,_90_1_2010,3,FALSE)</f>
        <v>4</v>
      </c>
      <c r="G111" s="134">
        <v>0.5</v>
      </c>
      <c r="H111" s="134">
        <f>VLOOKUP(Mapping!G108,_Plugs,13,FALSE)</f>
        <v>0.67424666522690402</v>
      </c>
      <c r="I111" s="134">
        <f>VLOOKUP(Mapping!$G108,_Plugs,14,FALSE)</f>
        <v>2</v>
      </c>
      <c r="J111" s="134">
        <f>VLOOKUP(Mapping!$G108,_Plugs,15,FALSE)</f>
        <v>0.54832713754646845</v>
      </c>
      <c r="K111" s="134">
        <f>VLOOKUP(Mapping!$G108,_Plugs,16,FALSE)</f>
        <v>1</v>
      </c>
      <c r="L111" s="135">
        <v>50</v>
      </c>
      <c r="M111" s="135">
        <v>50</v>
      </c>
      <c r="N111" s="135">
        <v>255</v>
      </c>
      <c r="O111" s="135">
        <v>875</v>
      </c>
      <c r="P111" s="134">
        <v>0.15</v>
      </c>
      <c r="Q111" s="134">
        <v>0.15</v>
      </c>
      <c r="R111" s="135">
        <f>VLOOKUP(Mapping!$J108,_ACM05,6,FALSE)</f>
        <v>120</v>
      </c>
      <c r="S111" s="135">
        <f>VLOOKUP(Mapping!$I108,_ECB_CS,4,FALSE)</f>
        <v>300</v>
      </c>
      <c r="T111" s="134">
        <f>VLOOKUP(Mapping!$H108,_CEUS,2,FALSE)</f>
        <v>2.2831050228310501E-2</v>
      </c>
      <c r="U111" s="134">
        <f>VLOOKUP(Mapping!$H108,_CEUS,3,FALSE)</f>
        <v>6.6210045662100453E-2</v>
      </c>
      <c r="V111" s="32" t="s">
        <v>51</v>
      </c>
      <c r="W111" s="11" t="s">
        <v>38</v>
      </c>
    </row>
    <row r="112" spans="1:23">
      <c r="A112" s="34" t="s">
        <v>496</v>
      </c>
      <c r="B112" s="27" t="s">
        <v>116</v>
      </c>
      <c r="C112" s="26" t="e">
        <f>VLOOKUP(Mapping!#REF!,_90_1_2001,2,FALSE)</f>
        <v>#REF!</v>
      </c>
      <c r="D112" s="26" t="e">
        <f>VLOOKUP(Mapping!#REF!,_90_1_2007,2,FALSE)</f>
        <v>#REF!</v>
      </c>
      <c r="E112" s="26" t="e">
        <f>VLOOKUP(Mapping!#REF!,_90_1_2010,2,FALSE)</f>
        <v>#REF!</v>
      </c>
      <c r="F112" s="26" t="e">
        <f>VLOOKUP(Mapping!#REF!,_90_1_2010,3,FALSE)</f>
        <v>#REF!</v>
      </c>
      <c r="G112" s="134">
        <v>0.5</v>
      </c>
      <c r="H112" s="134" t="e">
        <f>VLOOKUP(Mapping!#REF!,_Plugs,13,FALSE)</f>
        <v>#REF!</v>
      </c>
      <c r="I112" s="134" t="e">
        <f>VLOOKUP(Mapping!#REF!,_Plugs,14,FALSE)</f>
        <v>#REF!</v>
      </c>
      <c r="J112" s="134" t="e">
        <f>VLOOKUP(Mapping!#REF!,_Plugs,15,FALSE)</f>
        <v>#REF!</v>
      </c>
      <c r="K112" s="134" t="e">
        <f>VLOOKUP(Mapping!#REF!,_Plugs,16,FALSE)</f>
        <v>#REF!</v>
      </c>
      <c r="L112" s="135">
        <v>50</v>
      </c>
      <c r="M112" s="135">
        <v>50</v>
      </c>
      <c r="N112" s="135">
        <v>255</v>
      </c>
      <c r="O112" s="135">
        <v>875</v>
      </c>
      <c r="P112" s="134">
        <v>0.15</v>
      </c>
      <c r="Q112" s="134">
        <v>0.15</v>
      </c>
      <c r="R112" s="135" t="e">
        <f>VLOOKUP(Mapping!#REF!,_ACM05,6,FALSE)</f>
        <v>#REF!</v>
      </c>
      <c r="S112" s="135" t="e">
        <f>VLOOKUP(Mapping!#REF!,_ECB_CS,4,FALSE)</f>
        <v>#REF!</v>
      </c>
      <c r="T112" s="134" t="e">
        <f>VLOOKUP(Mapping!#REF!,_CEUS,2,FALSE)</f>
        <v>#REF!</v>
      </c>
      <c r="U112" s="134" t="e">
        <f>VLOOKUP(Mapping!#REF!,_CEUS,3,FALSE)</f>
        <v>#REF!</v>
      </c>
      <c r="V112" s="32" t="s">
        <v>51</v>
      </c>
      <c r="W112" s="11" t="s">
        <v>38</v>
      </c>
    </row>
    <row r="113" spans="1:23">
      <c r="A113" s="34" t="s">
        <v>496</v>
      </c>
      <c r="B113" s="27" t="s">
        <v>117</v>
      </c>
      <c r="C113" s="26">
        <f>VLOOKUP(Mapping!$E109,_90_1_2001,2,FALSE)</f>
        <v>1.9</v>
      </c>
      <c r="D113" s="26">
        <f>VLOOKUP(Mapping!$D109,_90_1_2007,2,FALSE)</f>
        <v>1.4</v>
      </c>
      <c r="E113" s="26">
        <f>VLOOKUP(Mapping!$C109,_90_1_2010,2,FALSE)</f>
        <v>1.2</v>
      </c>
      <c r="F113" s="26">
        <f>VLOOKUP(Mapping!$C109,_90_1_2010,3,FALSE)</f>
        <v>4</v>
      </c>
      <c r="G113" s="134">
        <v>0.5</v>
      </c>
      <c r="H113" s="134">
        <f>VLOOKUP(Mapping!G109,_Plugs,13,FALSE)</f>
        <v>0.67424666522690402</v>
      </c>
      <c r="I113" s="134">
        <f>VLOOKUP(Mapping!$G109,_Plugs,14,FALSE)</f>
        <v>2</v>
      </c>
      <c r="J113" s="134">
        <f>VLOOKUP(Mapping!$G109,_Plugs,15,FALSE)</f>
        <v>0.54832713754646845</v>
      </c>
      <c r="K113" s="134">
        <f>VLOOKUP(Mapping!$G109,_Plugs,16,FALSE)</f>
        <v>1</v>
      </c>
      <c r="L113" s="135">
        <v>50</v>
      </c>
      <c r="M113" s="135">
        <v>50</v>
      </c>
      <c r="N113" s="135">
        <v>255</v>
      </c>
      <c r="O113" s="135">
        <v>875</v>
      </c>
      <c r="P113" s="134">
        <v>0.15</v>
      </c>
      <c r="Q113" s="134">
        <v>0.15</v>
      </c>
      <c r="R113" s="135">
        <f>VLOOKUP(Mapping!$J109,_ACM05,6,FALSE)</f>
        <v>120</v>
      </c>
      <c r="S113" s="135">
        <f>VLOOKUP(Mapping!$I109,_ECB_CS,4,FALSE)</f>
        <v>300</v>
      </c>
      <c r="T113" s="134">
        <f>VLOOKUP(Mapping!$H109,_CEUS,2,FALSE)</f>
        <v>2.2831050228310501E-2</v>
      </c>
      <c r="U113" s="134">
        <f>VLOOKUP(Mapping!$H109,_CEUS,3,FALSE)</f>
        <v>6.6210045662100453E-2</v>
      </c>
      <c r="V113" s="32" t="s">
        <v>51</v>
      </c>
      <c r="W113" s="11" t="s">
        <v>38</v>
      </c>
    </row>
    <row r="114" spans="1:23">
      <c r="A114" s="34" t="s">
        <v>496</v>
      </c>
      <c r="B114" s="27" t="s">
        <v>150</v>
      </c>
      <c r="C114" s="26">
        <f>VLOOKUP(Mapping!$E88,_90_1_2001,2,FALSE)</f>
        <v>1.4</v>
      </c>
      <c r="D114" s="26">
        <f>VLOOKUP(Mapping!$D88,_90_1_2007,2,FALSE)</f>
        <v>1.2</v>
      </c>
      <c r="E114" s="26">
        <f>VLOOKUP(Mapping!$C88,_90_1_2010,2,FALSE)</f>
        <v>0.73</v>
      </c>
      <c r="F114" s="26">
        <f>VLOOKUP(Mapping!$C88,_90_1_2010,3,FALSE)</f>
        <v>4</v>
      </c>
      <c r="G114" s="134">
        <v>1</v>
      </c>
      <c r="H114" s="134" t="str">
        <f>VLOOKUP(Mapping!G88,_Plugs,13,FALSE)</f>
        <v>UWBD</v>
      </c>
      <c r="I114" s="134" t="str">
        <f>VLOOKUP(Mapping!$G88,_Plugs,14,FALSE)</f>
        <v>UWBD</v>
      </c>
      <c r="J114" s="134" t="str">
        <f>VLOOKUP(Mapping!$G88,_Plugs,15,FALSE)</f>
        <v>UWBD</v>
      </c>
      <c r="K114" s="134" t="str">
        <f>VLOOKUP(Mapping!$G88,_Plugs,16,FALSE)</f>
        <v>UWBD</v>
      </c>
      <c r="L114" s="135">
        <v>15</v>
      </c>
      <c r="M114" s="135">
        <v>100</v>
      </c>
      <c r="N114" s="135">
        <v>275</v>
      </c>
      <c r="O114" s="135">
        <v>275</v>
      </c>
      <c r="P114" s="134">
        <v>0.5</v>
      </c>
      <c r="Q114" s="134">
        <v>0.5</v>
      </c>
      <c r="R114" s="135">
        <f>VLOOKUP(Mapping!$J88,_ACM05,6,FALSE)</f>
        <v>60</v>
      </c>
      <c r="S114" s="135">
        <f>VLOOKUP(Mapping!$I88,_ECB_CS,4,FALSE)</f>
        <v>300</v>
      </c>
      <c r="T114" s="134">
        <f>VLOOKUP(Mapping!$H88,_CEUS,2,FALSE)</f>
        <v>2.2831050228310501E-2</v>
      </c>
      <c r="U114" s="134">
        <f>VLOOKUP(Mapping!$H88,_CEUS,3,FALSE)</f>
        <v>6.6210045662100453E-2</v>
      </c>
      <c r="V114" s="32" t="s">
        <v>51</v>
      </c>
      <c r="W114" s="32" t="s">
        <v>38</v>
      </c>
    </row>
    <row r="115" spans="1:23">
      <c r="A115" s="34" t="s">
        <v>496</v>
      </c>
      <c r="B115" s="27" t="s">
        <v>179</v>
      </c>
      <c r="C115" s="26">
        <f>VLOOKUP(Mapping!$E133,_90_1_2001,2,FALSE)</f>
        <v>4.3</v>
      </c>
      <c r="D115" s="26">
        <f>VLOOKUP(Mapping!$D133,_90_1_2007,2,FALSE)</f>
        <v>2.2999999999999998</v>
      </c>
      <c r="E115" s="26">
        <f>VLOOKUP(Mapping!$C133,_90_1_2010,2,FALSE)</f>
        <v>0.72</v>
      </c>
      <c r="F115" s="26">
        <f>VLOOKUP(Mapping!$C133,_90_1_2010,3,FALSE)</f>
        <v>4</v>
      </c>
      <c r="G115" s="134">
        <v>1</v>
      </c>
      <c r="H115" s="134">
        <f>VLOOKUP(Mapping!G133,_Plugs,13,FALSE)</f>
        <v>0.67424666522690402</v>
      </c>
      <c r="I115" s="134">
        <f>VLOOKUP(Mapping!$G133,_Plugs,14,FALSE)</f>
        <v>2</v>
      </c>
      <c r="J115" s="134">
        <f>VLOOKUP(Mapping!$G133,_Plugs,15,FALSE)</f>
        <v>0.54832713754646845</v>
      </c>
      <c r="K115" s="134">
        <f>VLOOKUP(Mapping!$G133,_Plugs,16,FALSE)</f>
        <v>1</v>
      </c>
      <c r="L115" s="135">
        <v>30</v>
      </c>
      <c r="M115" s="135">
        <v>100</v>
      </c>
      <c r="N115" s="135">
        <v>250</v>
      </c>
      <c r="O115" s="135">
        <v>200</v>
      </c>
      <c r="P115" s="134">
        <v>0.25</v>
      </c>
      <c r="Q115" s="134">
        <v>0.25</v>
      </c>
      <c r="R115" s="135">
        <f>VLOOKUP(Mapping!$J133,_ACM05,6,FALSE)</f>
        <v>120</v>
      </c>
      <c r="S115" s="135">
        <f>VLOOKUP(Mapping!$I133,_ECB_CS,4,FALSE)</f>
        <v>300</v>
      </c>
      <c r="T115" s="134">
        <f>VLOOKUP(Mapping!$H133,_CEUS,2,FALSE)</f>
        <v>2.2831050228310501E-2</v>
      </c>
      <c r="U115" s="134">
        <f>VLOOKUP(Mapping!$H133,_CEUS,3,FALSE)</f>
        <v>6.6210045662100453E-2</v>
      </c>
      <c r="V115" s="32" t="s">
        <v>68</v>
      </c>
      <c r="W115" s="32" t="s">
        <v>38</v>
      </c>
    </row>
    <row r="116" spans="1:23">
      <c r="A116" s="34" t="s">
        <v>496</v>
      </c>
      <c r="B116" s="27" t="s">
        <v>180</v>
      </c>
      <c r="C116" s="26">
        <f>VLOOKUP(Mapping!$E134,_90_1_2001,2,FALSE)</f>
        <v>4.3</v>
      </c>
      <c r="D116" s="26">
        <f>VLOOKUP(Mapping!$D134,_90_1_2007,2,FALSE)</f>
        <v>2.2999999999999998</v>
      </c>
      <c r="E116" s="26">
        <f>VLOOKUP(Mapping!$C134,_90_1_2010,2,FALSE)</f>
        <v>1.2</v>
      </c>
      <c r="F116" s="26">
        <f>VLOOKUP(Mapping!$C134,_90_1_2010,3,FALSE)</f>
        <v>4</v>
      </c>
      <c r="G116" s="134">
        <v>1</v>
      </c>
      <c r="H116" s="134">
        <f>VLOOKUP(Mapping!G134,_Plugs,13,FALSE)</f>
        <v>0.67424666522690402</v>
      </c>
      <c r="I116" s="134">
        <f>VLOOKUP(Mapping!$G134,_Plugs,14,FALSE)</f>
        <v>2</v>
      </c>
      <c r="J116" s="134">
        <f>VLOOKUP(Mapping!$G134,_Plugs,15,FALSE)</f>
        <v>0.54832713754646845</v>
      </c>
      <c r="K116" s="134">
        <f>VLOOKUP(Mapping!$G134,_Plugs,16,FALSE)</f>
        <v>1</v>
      </c>
      <c r="L116" s="135">
        <v>30</v>
      </c>
      <c r="M116" s="135">
        <v>100</v>
      </c>
      <c r="N116" s="135">
        <v>250</v>
      </c>
      <c r="O116" s="135">
        <v>200</v>
      </c>
      <c r="P116" s="134">
        <v>0.25</v>
      </c>
      <c r="Q116" s="134">
        <v>0.25</v>
      </c>
      <c r="R116" s="135">
        <f>VLOOKUP(Mapping!$J134,_ACM05,6,FALSE)</f>
        <v>120</v>
      </c>
      <c r="S116" s="135">
        <f>VLOOKUP(Mapping!$I134,_ECB_CS,4,FALSE)</f>
        <v>200</v>
      </c>
      <c r="T116" s="134">
        <f>VLOOKUP(Mapping!$H134,_CEUS,2,FALSE)</f>
        <v>2.2831050228310501E-2</v>
      </c>
      <c r="U116" s="134">
        <f>VLOOKUP(Mapping!$H134,_CEUS,3,FALSE)</f>
        <v>6.6210045662100453E-2</v>
      </c>
      <c r="V116" s="32" t="s">
        <v>68</v>
      </c>
      <c r="W116" s="32" t="s">
        <v>38</v>
      </c>
    </row>
    <row r="117" spans="1:23">
      <c r="A117" s="34" t="s">
        <v>496</v>
      </c>
      <c r="B117" s="27" t="s">
        <v>181</v>
      </c>
      <c r="C117" s="26">
        <f>VLOOKUP(Mapping!$E135,_90_1_2001,2,FALSE)</f>
        <v>4.3</v>
      </c>
      <c r="D117" s="26">
        <f>VLOOKUP(Mapping!$D135,_90_1_2007,2,FALSE)</f>
        <v>2.2999999999999998</v>
      </c>
      <c r="E117" s="26">
        <f>VLOOKUP(Mapping!$C135,_90_1_2010,2,FALSE)</f>
        <v>1.92</v>
      </c>
      <c r="F117" s="26">
        <f>VLOOKUP(Mapping!$C135,_90_1_2010,3,FALSE)</f>
        <v>4</v>
      </c>
      <c r="G117" s="134">
        <v>1</v>
      </c>
      <c r="H117" s="134">
        <f>VLOOKUP(Mapping!G135,_Plugs,13,FALSE)</f>
        <v>0.67424666522690402</v>
      </c>
      <c r="I117" s="134">
        <f>VLOOKUP(Mapping!$G135,_Plugs,14,FALSE)</f>
        <v>2</v>
      </c>
      <c r="J117" s="134">
        <f>VLOOKUP(Mapping!$G135,_Plugs,15,FALSE)</f>
        <v>0.54832713754646845</v>
      </c>
      <c r="K117" s="134">
        <f>VLOOKUP(Mapping!$G135,_Plugs,16,FALSE)</f>
        <v>1</v>
      </c>
      <c r="L117" s="135">
        <v>30</v>
      </c>
      <c r="M117" s="135">
        <v>100</v>
      </c>
      <c r="N117" s="135">
        <v>250</v>
      </c>
      <c r="O117" s="135">
        <v>200</v>
      </c>
      <c r="P117" s="134">
        <v>0.25</v>
      </c>
      <c r="Q117" s="134">
        <v>0.25</v>
      </c>
      <c r="R117" s="135">
        <f>VLOOKUP(Mapping!$J135,_ACM05,6,FALSE)</f>
        <v>120</v>
      </c>
      <c r="S117" s="135">
        <f>VLOOKUP(Mapping!$I135,_ECB_CS,4,FALSE)</f>
        <v>200</v>
      </c>
      <c r="T117" s="134">
        <f>VLOOKUP(Mapping!$H135,_CEUS,2,FALSE)</f>
        <v>2.2831050228310501E-2</v>
      </c>
      <c r="U117" s="134">
        <f>VLOOKUP(Mapping!$H135,_CEUS,3,FALSE)</f>
        <v>6.6210045662100453E-2</v>
      </c>
      <c r="V117" s="32" t="s">
        <v>68</v>
      </c>
      <c r="W117" s="32" t="s">
        <v>38</v>
      </c>
    </row>
    <row r="118" spans="1:23">
      <c r="A118" s="34" t="s">
        <v>496</v>
      </c>
      <c r="B118" s="27" t="s">
        <v>182</v>
      </c>
      <c r="C118" s="26">
        <f>VLOOKUP(Mapping!$E136,_90_1_2001,2,FALSE)</f>
        <v>4.3</v>
      </c>
      <c r="D118" s="26">
        <f>VLOOKUP(Mapping!$D136,_90_1_2007,2,FALSE)</f>
        <v>2.2999999999999998</v>
      </c>
      <c r="E118" s="26">
        <f>VLOOKUP(Mapping!$C136,_90_1_2010,2,FALSE)</f>
        <v>3.01</v>
      </c>
      <c r="F118" s="26">
        <f>VLOOKUP(Mapping!$C136,_90_1_2010,3,FALSE)</f>
        <v>4</v>
      </c>
      <c r="G118" s="134">
        <v>1</v>
      </c>
      <c r="H118" s="134">
        <f>VLOOKUP(Mapping!G136,_Plugs,13,FALSE)</f>
        <v>0.67424666522690402</v>
      </c>
      <c r="I118" s="134">
        <f>VLOOKUP(Mapping!$G136,_Plugs,14,FALSE)</f>
        <v>2</v>
      </c>
      <c r="J118" s="134">
        <f>VLOOKUP(Mapping!$G136,_Plugs,15,FALSE)</f>
        <v>0.54832713754646845</v>
      </c>
      <c r="K118" s="134">
        <f>VLOOKUP(Mapping!$G136,_Plugs,16,FALSE)</f>
        <v>1</v>
      </c>
      <c r="L118" s="135">
        <v>30</v>
      </c>
      <c r="M118" s="135">
        <v>100</v>
      </c>
      <c r="N118" s="135">
        <v>250</v>
      </c>
      <c r="O118" s="135">
        <v>200</v>
      </c>
      <c r="P118" s="134">
        <v>0.25</v>
      </c>
      <c r="Q118" s="134">
        <v>0.25</v>
      </c>
      <c r="R118" s="135">
        <f>VLOOKUP(Mapping!$J136,_ACM05,6,FALSE)</f>
        <v>120</v>
      </c>
      <c r="S118" s="135">
        <f>VLOOKUP(Mapping!$I136,_ECB_CS,4,FALSE)</f>
        <v>200</v>
      </c>
      <c r="T118" s="134">
        <f>VLOOKUP(Mapping!$H136,_CEUS,2,FALSE)</f>
        <v>2.2831050228310501E-2</v>
      </c>
      <c r="U118" s="134">
        <f>VLOOKUP(Mapping!$H136,_CEUS,3,FALSE)</f>
        <v>6.6210045662100453E-2</v>
      </c>
      <c r="V118" s="32" t="s">
        <v>68</v>
      </c>
      <c r="W118" s="32" t="s">
        <v>38</v>
      </c>
    </row>
    <row r="119" spans="1:23" s="25" customFormat="1" ht="13.5" thickBot="1">
      <c r="A119" s="34" t="s">
        <v>496</v>
      </c>
      <c r="B119" s="27" t="s">
        <v>183</v>
      </c>
      <c r="C119" s="26" t="e">
        <f>VLOOKUP(Mapping!#REF!,_90_1_2001,2,FALSE)</f>
        <v>#REF!</v>
      </c>
      <c r="D119" s="26" t="e">
        <f>VLOOKUP(Mapping!#REF!,_90_1_2007,2,FALSE)</f>
        <v>#REF!</v>
      </c>
      <c r="E119" s="26" t="e">
        <f>VLOOKUP(Mapping!#REF!,_90_1_2010,2,FALSE)</f>
        <v>#REF!</v>
      </c>
      <c r="F119" s="26" t="e">
        <f>VLOOKUP(Mapping!#REF!,_90_1_2010,3,FALSE)</f>
        <v>#REF!</v>
      </c>
      <c r="G119" s="134">
        <v>1</v>
      </c>
      <c r="H119" s="134" t="e">
        <f>VLOOKUP(Mapping!#REF!,_Plugs,13,FALSE)</f>
        <v>#REF!</v>
      </c>
      <c r="I119" s="134" t="e">
        <f>VLOOKUP(Mapping!#REF!,_Plugs,14,FALSE)</f>
        <v>#REF!</v>
      </c>
      <c r="J119" s="134" t="e">
        <f>VLOOKUP(Mapping!#REF!,_Plugs,15,FALSE)</f>
        <v>#REF!</v>
      </c>
      <c r="K119" s="134" t="e">
        <f>VLOOKUP(Mapping!#REF!,_Plugs,16,FALSE)</f>
        <v>#REF!</v>
      </c>
      <c r="L119" s="135">
        <v>7</v>
      </c>
      <c r="M119" s="135">
        <v>9</v>
      </c>
      <c r="N119" s="135">
        <v>245</v>
      </c>
      <c r="O119" s="135">
        <v>105</v>
      </c>
      <c r="P119" s="134">
        <v>1.07</v>
      </c>
      <c r="Q119" s="134">
        <v>1.07</v>
      </c>
      <c r="R119" s="135" t="e">
        <f>VLOOKUP(Mapping!#REF!,_ACM05,6,FALSE)</f>
        <v>#REF!</v>
      </c>
      <c r="S119" s="135" t="e">
        <f>VLOOKUP(Mapping!#REF!,_ECB_CS,4,FALSE)</f>
        <v>#REF!</v>
      </c>
      <c r="T119" s="134" t="e">
        <f>VLOOKUP(Mapping!#REF!,_CEUS,2,FALSE)</f>
        <v>#REF!</v>
      </c>
      <c r="U119" s="134" t="e">
        <f>VLOOKUP(Mapping!#REF!,_CEUS,3,FALSE)</f>
        <v>#REF!</v>
      </c>
      <c r="V119" s="32" t="s">
        <v>51</v>
      </c>
      <c r="W119" s="32" t="s">
        <v>38</v>
      </c>
    </row>
    <row r="120" spans="1:23">
      <c r="A120" s="34" t="s">
        <v>496</v>
      </c>
      <c r="B120" s="27" t="s">
        <v>184</v>
      </c>
      <c r="C120" s="26" t="e">
        <f>VLOOKUP(Mapping!#REF!,_90_1_2001,2,FALSE)</f>
        <v>#REF!</v>
      </c>
      <c r="D120" s="26" t="e">
        <f>VLOOKUP(Mapping!#REF!,_90_1_2007,2,FALSE)</f>
        <v>#REF!</v>
      </c>
      <c r="E120" s="26" t="e">
        <f>VLOOKUP(Mapping!#REF!,_90_1_2010,2,FALSE)</f>
        <v>#REF!</v>
      </c>
      <c r="F120" s="26" t="e">
        <f>VLOOKUP(Mapping!#REF!,_90_1_2010,3,FALSE)</f>
        <v>#REF!</v>
      </c>
      <c r="G120" s="134">
        <v>1</v>
      </c>
      <c r="H120" s="134" t="e">
        <f>VLOOKUP(Mapping!#REF!,_Plugs,13,FALSE)</f>
        <v>#REF!</v>
      </c>
      <c r="I120" s="134" t="e">
        <f>VLOOKUP(Mapping!#REF!,_Plugs,14,FALSE)</f>
        <v>#REF!</v>
      </c>
      <c r="J120" s="134" t="e">
        <f>VLOOKUP(Mapping!#REF!,_Plugs,15,FALSE)</f>
        <v>#REF!</v>
      </c>
      <c r="K120" s="134" t="e">
        <f>VLOOKUP(Mapping!#REF!,_Plugs,16,FALSE)</f>
        <v>#REF!</v>
      </c>
      <c r="L120" s="135">
        <v>7</v>
      </c>
      <c r="M120" s="135">
        <v>9</v>
      </c>
      <c r="N120" s="135">
        <v>245</v>
      </c>
      <c r="O120" s="135">
        <v>105</v>
      </c>
      <c r="P120" s="134">
        <v>1.07</v>
      </c>
      <c r="Q120" s="134">
        <v>1.07</v>
      </c>
      <c r="R120" s="135" t="e">
        <f>VLOOKUP(Mapping!#REF!,_ACM05,6,FALSE)</f>
        <v>#REF!</v>
      </c>
      <c r="S120" s="135" t="e">
        <f>VLOOKUP(Mapping!#REF!,_ECB_CS,4,FALSE)</f>
        <v>#REF!</v>
      </c>
      <c r="T120" s="134" t="e">
        <f>VLOOKUP(Mapping!#REF!,_CEUS,2,FALSE)</f>
        <v>#REF!</v>
      </c>
      <c r="U120" s="134" t="e">
        <f>VLOOKUP(Mapping!#REF!,_CEUS,3,FALSE)</f>
        <v>#REF!</v>
      </c>
      <c r="V120" s="32" t="s">
        <v>51</v>
      </c>
      <c r="W120" s="32" t="s">
        <v>38</v>
      </c>
    </row>
    <row r="121" spans="1:23">
      <c r="A121" s="34" t="s">
        <v>595</v>
      </c>
      <c r="B121" s="27" t="s">
        <v>97</v>
      </c>
      <c r="C121" s="26">
        <f>VLOOKUP(Mapping!$E56,_90_1_2001,2,FALSE)</f>
        <v>1.5</v>
      </c>
      <c r="D121" s="26">
        <f>VLOOKUP(Mapping!$D56,_90_1_2007,2,FALSE)</f>
        <v>1.3</v>
      </c>
      <c r="E121" s="26">
        <f>VLOOKUP(Mapping!$C56,_90_1_2010,2,FALSE)</f>
        <v>1.23</v>
      </c>
      <c r="F121" s="26">
        <f>VLOOKUP(Mapping!$C56,_90_1_2010,3,FALSE)</f>
        <v>6</v>
      </c>
      <c r="G121" s="134">
        <v>1</v>
      </c>
      <c r="H121" s="134">
        <f>VLOOKUP(Mapping!G56,_Plugs,13,FALSE)</f>
        <v>0.73324325767498066</v>
      </c>
      <c r="I121" s="134">
        <f>VLOOKUP(Mapping!$G56,_Plugs,14,FALSE)</f>
        <v>2</v>
      </c>
      <c r="J121" s="134">
        <f>VLOOKUP(Mapping!$G56,_Plugs,15,FALSE)</f>
        <v>0.54832713754646845</v>
      </c>
      <c r="K121" s="134">
        <f>VLOOKUP(Mapping!$G56,_Plugs,16,FALSE)</f>
        <v>1</v>
      </c>
      <c r="L121" s="135">
        <v>15</v>
      </c>
      <c r="M121" s="135">
        <v>15</v>
      </c>
      <c r="N121" s="135">
        <v>245</v>
      </c>
      <c r="O121" s="135">
        <v>155</v>
      </c>
      <c r="P121" s="134">
        <v>0.5</v>
      </c>
      <c r="Q121" s="134">
        <v>0.5</v>
      </c>
      <c r="R121" s="135">
        <f>VLOOKUP(Mapping!$J56,_ACM05,6,FALSE)</f>
        <v>60</v>
      </c>
      <c r="S121" s="135">
        <f>VLOOKUP(Mapping!$I56,_ECB_CS,4,FALSE)</f>
        <v>150</v>
      </c>
      <c r="T121" s="134">
        <f>VLOOKUP(Mapping!$H56,_CEUS,2,FALSE)</f>
        <v>0.29680365296803651</v>
      </c>
      <c r="U121" s="134">
        <f>VLOOKUP(Mapping!$H56,_CEUS,3,FALSE)</f>
        <v>5.2511415525114152E-2</v>
      </c>
      <c r="V121" s="32" t="s">
        <v>51</v>
      </c>
      <c r="W121" s="32" t="s">
        <v>38</v>
      </c>
    </row>
    <row r="122" spans="1:23">
      <c r="A122" s="34" t="s">
        <v>500</v>
      </c>
      <c r="B122" s="27" t="s">
        <v>112</v>
      </c>
      <c r="C122" s="26" t="e">
        <f>VLOOKUP(Mapping!#REF!,_90_1_2001,2,FALSE)</f>
        <v>#REF!</v>
      </c>
      <c r="D122" s="26" t="e">
        <f>VLOOKUP(Mapping!#REF!,_90_1_2007,2,FALSE)</f>
        <v>#REF!</v>
      </c>
      <c r="E122" s="26" t="e">
        <f>VLOOKUP(Mapping!#REF!,_90_1_2010,2,FALSE)</f>
        <v>#REF!</v>
      </c>
      <c r="F122" s="26" t="e">
        <f>VLOOKUP(Mapping!#REF!,_90_1_2010,3,FALSE)</f>
        <v>#REF!</v>
      </c>
      <c r="G122" s="134">
        <v>1.5</v>
      </c>
      <c r="H122" s="134" t="e">
        <f>VLOOKUP(Mapping!#REF!,_Plugs,13,FALSE)</f>
        <v>#REF!</v>
      </c>
      <c r="I122" s="134" t="e">
        <f>VLOOKUP(Mapping!#REF!,_Plugs,14,FALSE)</f>
        <v>#REF!</v>
      </c>
      <c r="J122" s="134" t="e">
        <f>VLOOKUP(Mapping!#REF!,_Plugs,15,FALSE)</f>
        <v>#REF!</v>
      </c>
      <c r="K122" s="134" t="e">
        <f>VLOOKUP(Mapping!#REF!,_Plugs,16,FALSE)</f>
        <v>#REF!</v>
      </c>
      <c r="L122" s="135">
        <v>100</v>
      </c>
      <c r="M122" s="135">
        <v>100</v>
      </c>
      <c r="N122" s="135">
        <v>250</v>
      </c>
      <c r="O122" s="135">
        <v>200</v>
      </c>
      <c r="P122" s="134">
        <v>0.15</v>
      </c>
      <c r="Q122" s="134">
        <v>0.15</v>
      </c>
      <c r="R122" s="135" t="e">
        <f>VLOOKUP(Mapping!#REF!,_ACM05,6,FALSE)</f>
        <v>#REF!</v>
      </c>
      <c r="S122" s="135" t="e">
        <f>VLOOKUP(Mapping!#REF!,_ECB_CS,4,FALSE)</f>
        <v>#REF!</v>
      </c>
      <c r="T122" s="134" t="e">
        <f>VLOOKUP(Mapping!#REF!,_CEUS,2,FALSE)</f>
        <v>#REF!</v>
      </c>
      <c r="U122" s="134" t="e">
        <f>VLOOKUP(Mapping!#REF!,_CEUS,3,FALSE)</f>
        <v>#REF!</v>
      </c>
      <c r="V122" s="32" t="s">
        <v>51</v>
      </c>
      <c r="W122" s="11" t="s">
        <v>52</v>
      </c>
    </row>
    <row r="123" spans="1:23">
      <c r="A123" s="34" t="s">
        <v>500</v>
      </c>
      <c r="B123" s="27" t="s">
        <v>113</v>
      </c>
      <c r="C123" s="26">
        <f>VLOOKUP(Mapping!$E107,_90_1_2001,2,FALSE)</f>
        <v>1.1000000000000001</v>
      </c>
      <c r="D123" s="26">
        <f>VLOOKUP(Mapping!$D107,_90_1_2007,2,FALSE)</f>
        <v>0.3</v>
      </c>
      <c r="E123" s="26">
        <f>VLOOKUP(Mapping!$C107,_90_1_2010,2,FALSE)</f>
        <v>0.25</v>
      </c>
      <c r="F123" s="26">
        <f>VLOOKUP(Mapping!$C107,_90_1_2010,3,FALSE)</f>
        <v>6</v>
      </c>
      <c r="G123" s="134">
        <v>0.5</v>
      </c>
      <c r="H123" s="134">
        <f>VLOOKUP(Mapping!G107,_Plugs,13,FALSE)</f>
        <v>1.5403580152290588</v>
      </c>
      <c r="I123" s="134">
        <f>VLOOKUP(Mapping!$G107,_Plugs,14,FALSE)</f>
        <v>2</v>
      </c>
      <c r="J123" s="134">
        <f>VLOOKUP(Mapping!$G107,_Plugs,15,FALSE)</f>
        <v>1.1152416356877324</v>
      </c>
      <c r="K123" s="134">
        <f>VLOOKUP(Mapping!$G107,_Plugs,16,FALSE)</f>
        <v>1</v>
      </c>
      <c r="L123" s="135">
        <v>100</v>
      </c>
      <c r="M123" s="135">
        <v>100</v>
      </c>
      <c r="N123" s="135">
        <v>250</v>
      </c>
      <c r="O123" s="135">
        <v>250</v>
      </c>
      <c r="P123" s="134">
        <v>0.15</v>
      </c>
      <c r="Q123" s="134">
        <v>0.15</v>
      </c>
      <c r="R123" s="135">
        <f>VLOOKUP(Mapping!$J107,_ACM05,6,FALSE)</f>
        <v>120</v>
      </c>
      <c r="S123" s="135">
        <f>VLOOKUP(Mapping!$I107,_ECB_CS,4,FALSE)</f>
        <v>1700</v>
      </c>
      <c r="T123" s="134">
        <f>VLOOKUP(Mapping!$H107,_CEUS,2,FALSE)</f>
        <v>0.69634703196347048</v>
      </c>
      <c r="U123" s="134">
        <f>VLOOKUP(Mapping!$H107,_CEUS,3,FALSE)</f>
        <v>0.10273972602739725</v>
      </c>
      <c r="V123" s="32" t="s">
        <v>47</v>
      </c>
      <c r="W123" s="11" t="s">
        <v>52</v>
      </c>
    </row>
    <row r="124" spans="1:23">
      <c r="A124" s="34" t="s">
        <v>540</v>
      </c>
      <c r="B124" s="27" t="s">
        <v>102</v>
      </c>
      <c r="C124" s="26">
        <f>VLOOKUP(Mapping!$E57,_90_1_2001,2,FALSE)</f>
        <v>1.1000000000000001</v>
      </c>
      <c r="D124" s="26">
        <f>VLOOKUP(Mapping!$D57,_90_1_2007,2,FALSE)</f>
        <v>0.9</v>
      </c>
      <c r="E124" s="26">
        <f>VLOOKUP(Mapping!$C57,_90_1_2010,2,FALSE)</f>
        <v>1.1000000000000001</v>
      </c>
      <c r="F124" s="26">
        <f>VLOOKUP(Mapping!$C57,_90_1_2010,3,FALSE)</f>
        <v>6</v>
      </c>
      <c r="G124" s="134">
        <v>0.2</v>
      </c>
      <c r="H124" s="134">
        <f>VLOOKUP(Mapping!G57,_Plugs,13,FALSE)</f>
        <v>1.4928322661656475</v>
      </c>
      <c r="I124" s="134">
        <f>VLOOKUP(Mapping!$G57,_Plugs,14,FALSE)</f>
        <v>2</v>
      </c>
      <c r="J124" s="134">
        <f>VLOOKUP(Mapping!$G57,_Plugs,15,FALSE)</f>
        <v>1.1152416356877324</v>
      </c>
      <c r="K124" s="134">
        <f>VLOOKUP(Mapping!$G57,_Plugs,16,FALSE)</f>
        <v>1</v>
      </c>
      <c r="L124" s="135">
        <v>100</v>
      </c>
      <c r="M124" s="135">
        <v>100</v>
      </c>
      <c r="N124" s="135">
        <v>250</v>
      </c>
      <c r="O124" s="135">
        <v>250</v>
      </c>
      <c r="P124" s="134">
        <v>0.15</v>
      </c>
      <c r="Q124" s="134">
        <v>0.15</v>
      </c>
      <c r="R124" s="135">
        <f>VLOOKUP(Mapping!$J57,_ACM05,6,FALSE)</f>
        <v>120</v>
      </c>
      <c r="S124" s="135">
        <f>VLOOKUP(Mapping!$I57,_ECB_CS,4,FALSE)</f>
        <v>1110</v>
      </c>
      <c r="T124" s="134">
        <f>VLOOKUP(Mapping!$H57,_CEUS,2,FALSE)</f>
        <v>0.69634703196347048</v>
      </c>
      <c r="U124" s="134">
        <f>VLOOKUP(Mapping!$H57,_CEUS,3,FALSE)</f>
        <v>0.10273972602739725</v>
      </c>
      <c r="V124" s="32" t="s">
        <v>47</v>
      </c>
      <c r="W124" s="32" t="s">
        <v>38</v>
      </c>
    </row>
    <row r="125" spans="1:23">
      <c r="A125" s="34" t="s">
        <v>540</v>
      </c>
      <c r="B125" s="27" t="s">
        <v>103</v>
      </c>
      <c r="C125" s="26">
        <f>VLOOKUP(Mapping!$E63,_90_1_2001,2,FALSE)</f>
        <v>2.1</v>
      </c>
      <c r="D125" s="26">
        <f>VLOOKUP(Mapping!$D63,_90_1_2007,2,FALSE)</f>
        <v>1.9</v>
      </c>
      <c r="E125" s="26">
        <f>VLOOKUP(Mapping!$C63,_90_1_2010,2,FALSE)</f>
        <v>1.72</v>
      </c>
      <c r="F125" s="26">
        <f>VLOOKUP(Mapping!$C63,_90_1_2010,3,FALSE)</f>
        <v>6</v>
      </c>
      <c r="G125" s="134">
        <v>1.5</v>
      </c>
      <c r="H125" s="134">
        <f>VLOOKUP(Mapping!G63,_Plugs,13,FALSE)</f>
        <v>1.4928322661656475</v>
      </c>
      <c r="I125" s="134">
        <f>VLOOKUP(Mapping!$G63,_Plugs,14,FALSE)</f>
        <v>2</v>
      </c>
      <c r="J125" s="134">
        <f>VLOOKUP(Mapping!$G63,_Plugs,15,FALSE)</f>
        <v>1.1152416356877324</v>
      </c>
      <c r="K125" s="134">
        <f>VLOOKUP(Mapping!$G63,_Plugs,16,FALSE)</f>
        <v>1</v>
      </c>
      <c r="L125" s="135">
        <v>40</v>
      </c>
      <c r="M125" s="135">
        <v>40</v>
      </c>
      <c r="N125" s="135">
        <v>250</v>
      </c>
      <c r="O125" s="135">
        <v>200</v>
      </c>
      <c r="P125" s="134">
        <v>0.19</v>
      </c>
      <c r="Q125" s="134">
        <v>0.19</v>
      </c>
      <c r="R125" s="135">
        <f>VLOOKUP(Mapping!$J63,_ACM05,6,FALSE)</f>
        <v>120</v>
      </c>
      <c r="S125" s="135">
        <f>VLOOKUP(Mapping!$I63,_ECB_CS,4,FALSE)</f>
        <v>100</v>
      </c>
      <c r="T125" s="134">
        <f>VLOOKUP(Mapping!$H63,_CEUS,2,FALSE)</f>
        <v>0.17123287671232876</v>
      </c>
      <c r="U125" s="134">
        <f>VLOOKUP(Mapping!$H63,_CEUS,3,FALSE)</f>
        <v>4.6803652968036527E-2</v>
      </c>
      <c r="V125" s="32" t="s">
        <v>51</v>
      </c>
      <c r="W125" s="32" t="s">
        <v>38</v>
      </c>
    </row>
    <row r="126" spans="1:23">
      <c r="A126" s="34" t="s">
        <v>540</v>
      </c>
      <c r="B126" s="27" t="s">
        <v>104</v>
      </c>
      <c r="C126" s="26">
        <f>VLOOKUP(Mapping!$E75,_90_1_2001,2,FALSE)</f>
        <v>1.1000000000000001</v>
      </c>
      <c r="D126" s="26">
        <f>VLOOKUP(Mapping!$D75,_90_1_2007,2,FALSE)</f>
        <v>1.3</v>
      </c>
      <c r="E126" s="26">
        <f>VLOOKUP(Mapping!$C75,_90_1_2010,2,FALSE)</f>
        <v>1.17</v>
      </c>
      <c r="F126" s="26">
        <f>VLOOKUP(Mapping!$C75,_90_1_2010,3,FALSE)</f>
        <v>8</v>
      </c>
      <c r="G126" s="134">
        <v>1.5</v>
      </c>
      <c r="H126" s="134">
        <f>VLOOKUP(Mapping!G75,_Plugs,13,FALSE)</f>
        <v>1.4928322661656475</v>
      </c>
      <c r="I126" s="134">
        <f>VLOOKUP(Mapping!$G75,_Plugs,14,FALSE)</f>
        <v>2</v>
      </c>
      <c r="J126" s="134">
        <f>VLOOKUP(Mapping!$G75,_Plugs,15,FALSE)</f>
        <v>1.1152416356877324</v>
      </c>
      <c r="K126" s="134">
        <f>VLOOKUP(Mapping!$G75,_Plugs,16,FALSE)</f>
        <v>1</v>
      </c>
      <c r="L126" s="135">
        <v>100</v>
      </c>
      <c r="M126" s="135">
        <v>100</v>
      </c>
      <c r="N126" s="135">
        <v>250</v>
      </c>
      <c r="O126" s="135">
        <v>200</v>
      </c>
      <c r="P126" s="134">
        <v>0.15</v>
      </c>
      <c r="Q126" s="134">
        <v>0.15</v>
      </c>
      <c r="R126" s="135">
        <f>VLOOKUP(Mapping!$J75,_ACM05,6,FALSE)</f>
        <v>120</v>
      </c>
      <c r="S126" s="135">
        <f>VLOOKUP(Mapping!$I75,_ECB_CS,4,FALSE)</f>
        <v>300</v>
      </c>
      <c r="T126" s="134">
        <f>VLOOKUP(Mapping!$H75,_CEUS,2,FALSE)</f>
        <v>0.17123287671232876</v>
      </c>
      <c r="U126" s="134">
        <f>VLOOKUP(Mapping!$H75,_CEUS,3,FALSE)</f>
        <v>4.6803652968036527E-2</v>
      </c>
      <c r="V126" s="32" t="s">
        <v>51</v>
      </c>
      <c r="W126" s="32" t="s">
        <v>38</v>
      </c>
    </row>
    <row r="127" spans="1:23">
      <c r="A127" s="34" t="s">
        <v>1267</v>
      </c>
      <c r="B127" s="27" t="s">
        <v>194</v>
      </c>
      <c r="C127" s="26" t="e">
        <f>VLOOKUP(Mapping!#REF!,_90_1_2001,2,FALSE)</f>
        <v>#REF!</v>
      </c>
      <c r="D127" s="26" t="e">
        <f>VLOOKUP(Mapping!#REF!,_90_1_2007,2,FALSE)</f>
        <v>#REF!</v>
      </c>
      <c r="E127" s="26" t="e">
        <f>VLOOKUP(Mapping!#REF!,_90_1_2010,2,FALSE)</f>
        <v>#REF!</v>
      </c>
      <c r="F127" s="26" t="e">
        <f>VLOOKUP(Mapping!#REF!,_90_1_2010,3,FALSE)</f>
        <v>#REF!</v>
      </c>
      <c r="G127" s="134">
        <v>0.2</v>
      </c>
      <c r="H127" s="134" t="e">
        <f>VLOOKUP(Mapping!#REF!,_Plugs,13,FALSE)</f>
        <v>#REF!</v>
      </c>
      <c r="I127" s="134" t="e">
        <f>VLOOKUP(Mapping!#REF!,_Plugs,14,FALSE)</f>
        <v>#REF!</v>
      </c>
      <c r="J127" s="134" t="e">
        <f>VLOOKUP(Mapping!#REF!,_Plugs,15,FALSE)</f>
        <v>#REF!</v>
      </c>
      <c r="K127" s="134" t="e">
        <f>VLOOKUP(Mapping!#REF!,_Plugs,16,FALSE)</f>
        <v>#REF!</v>
      </c>
      <c r="L127" s="135">
        <v>333</v>
      </c>
      <c r="M127" s="135">
        <v>333</v>
      </c>
      <c r="N127" s="135">
        <v>275</v>
      </c>
      <c r="O127" s="135">
        <v>475</v>
      </c>
      <c r="P127" s="134">
        <v>0.15</v>
      </c>
      <c r="Q127" s="134">
        <v>0.15</v>
      </c>
      <c r="R127" s="135" t="e">
        <f>VLOOKUP(Mapping!#REF!,_ACM05,6,FALSE)</f>
        <v>#REF!</v>
      </c>
      <c r="S127" s="135" t="e">
        <f>VLOOKUP(Mapping!#REF!,_ECB_CS,4,FALSE)</f>
        <v>#REF!</v>
      </c>
      <c r="T127" s="134" t="e">
        <f>VLOOKUP(Mapping!#REF!,_CEUS,2,FALSE)</f>
        <v>#REF!</v>
      </c>
      <c r="U127" s="134" t="e">
        <f>VLOOKUP(Mapping!#REF!,_CEUS,3,FALSE)</f>
        <v>#REF!</v>
      </c>
      <c r="V127" s="32" t="s">
        <v>51</v>
      </c>
      <c r="W127" s="32" t="s">
        <v>83</v>
      </c>
    </row>
    <row r="128" spans="1:23">
      <c r="A128" s="34" t="s">
        <v>548</v>
      </c>
      <c r="B128" s="27" t="s">
        <v>169</v>
      </c>
      <c r="C128" s="26" t="e">
        <f>VLOOKUP(Mapping!#REF!,_90_1_2001,2,FALSE)</f>
        <v>#REF!</v>
      </c>
      <c r="D128" s="26" t="e">
        <f>VLOOKUP(Mapping!#REF!,_90_1_2007,2,FALSE)</f>
        <v>#REF!</v>
      </c>
      <c r="E128" s="26" t="e">
        <f>VLOOKUP(Mapping!#REF!,_90_1_2010,2,FALSE)</f>
        <v>#REF!</v>
      </c>
      <c r="F128" s="26" t="e">
        <f>VLOOKUP(Mapping!#REF!,_90_1_2010,3,FALSE)</f>
        <v>#REF!</v>
      </c>
      <c r="G128" s="134">
        <v>0.5</v>
      </c>
      <c r="H128" s="134" t="e">
        <f>VLOOKUP(Mapping!#REF!,_Plugs,13,FALSE)</f>
        <v>#REF!</v>
      </c>
      <c r="I128" s="134" t="e">
        <f>VLOOKUP(Mapping!#REF!,_Plugs,14,FALSE)</f>
        <v>#REF!</v>
      </c>
      <c r="J128" s="134" t="e">
        <f>VLOOKUP(Mapping!#REF!,_Plugs,15,FALSE)</f>
        <v>#REF!</v>
      </c>
      <c r="K128" s="134" t="e">
        <f>VLOOKUP(Mapping!#REF!,_Plugs,16,FALSE)</f>
        <v>#REF!</v>
      </c>
      <c r="L128" s="135">
        <v>100</v>
      </c>
      <c r="M128" s="135">
        <v>100</v>
      </c>
      <c r="N128" s="135">
        <v>275</v>
      </c>
      <c r="O128" s="135">
        <v>475</v>
      </c>
      <c r="P128" s="134">
        <v>0.15</v>
      </c>
      <c r="Q128" s="134">
        <v>0.15</v>
      </c>
      <c r="R128" s="135" t="e">
        <f>VLOOKUP(Mapping!#REF!,_ACM05,6,FALSE)</f>
        <v>#REF!</v>
      </c>
      <c r="S128" s="135" t="e">
        <f>VLOOKUP(Mapping!#REF!,_ECB_CS,4,FALSE)</f>
        <v>#REF!</v>
      </c>
      <c r="T128" s="134" t="e">
        <f>VLOOKUP(Mapping!#REF!,_CEUS,2,FALSE)</f>
        <v>#REF!</v>
      </c>
      <c r="U128" s="134" t="e">
        <f>VLOOKUP(Mapping!#REF!,_CEUS,3,FALSE)</f>
        <v>#REF!</v>
      </c>
      <c r="V128" s="32" t="s">
        <v>51</v>
      </c>
      <c r="W128" s="32" t="s">
        <v>38</v>
      </c>
    </row>
    <row r="129" spans="1:23">
      <c r="A129" s="34" t="s">
        <v>548</v>
      </c>
      <c r="B129" s="27" t="s">
        <v>170</v>
      </c>
      <c r="C129" s="26">
        <f>VLOOKUP(Mapping!$E129,_90_1_2001,2,FALSE)</f>
        <v>2.2999999999999998</v>
      </c>
      <c r="D129" s="26">
        <f>VLOOKUP(Mapping!$D129,_90_1_2007,2,FALSE)</f>
        <v>0.9</v>
      </c>
      <c r="E129" s="26">
        <f>VLOOKUP(Mapping!$C129,_90_1_2010,2,FALSE)</f>
        <v>0.64</v>
      </c>
      <c r="F129" s="26">
        <f>VLOOKUP(Mapping!$C129,_90_1_2010,3,FALSE)</f>
        <v>4</v>
      </c>
      <c r="G129" s="134">
        <v>0.5</v>
      </c>
      <c r="H129" s="134">
        <f>VLOOKUP(Mapping!G129,_Plugs,13,FALSE)</f>
        <v>0.29844543263937018</v>
      </c>
      <c r="I129" s="134">
        <f>VLOOKUP(Mapping!$G129,_Plugs,14,FALSE)</f>
        <v>2</v>
      </c>
      <c r="J129" s="134">
        <f>VLOOKUP(Mapping!$G129,_Plugs,15,FALSE)</f>
        <v>0.54832713754646845</v>
      </c>
      <c r="K129" s="134">
        <f>VLOOKUP(Mapping!$G129,_Plugs,16,FALSE)</f>
        <v>0.4</v>
      </c>
      <c r="L129" s="135">
        <v>7</v>
      </c>
      <c r="M129" s="135">
        <v>9</v>
      </c>
      <c r="N129" s="135">
        <v>245</v>
      </c>
      <c r="O129" s="135">
        <v>105</v>
      </c>
      <c r="P129" s="134">
        <v>1.07</v>
      </c>
      <c r="Q129" s="134">
        <v>1.07</v>
      </c>
      <c r="R129" s="135">
        <f>VLOOKUP(Mapping!$J129,_ACM05,6,FALSE)</f>
        <v>60</v>
      </c>
      <c r="S129" s="135">
        <f>VLOOKUP(Mapping!$I129,_ECB_CS,4,FALSE)</f>
        <v>50</v>
      </c>
      <c r="T129" s="134">
        <f>VLOOKUP(Mapping!$H129,_CEUS,2,FALSE)</f>
        <v>2.2831050228310501E-2</v>
      </c>
      <c r="U129" s="134">
        <f>VLOOKUP(Mapping!$H129,_CEUS,3,FALSE)</f>
        <v>6.6210045662100453E-2</v>
      </c>
      <c r="V129" s="32" t="s">
        <v>51</v>
      </c>
      <c r="W129" s="32" t="s">
        <v>38</v>
      </c>
    </row>
    <row r="130" spans="1:23">
      <c r="A130" s="34" t="s">
        <v>548</v>
      </c>
      <c r="B130" s="27" t="s">
        <v>171</v>
      </c>
      <c r="C130" s="26">
        <f>VLOOKUP(Mapping!$E130,_90_1_2001,2,FALSE)</f>
        <v>5.2</v>
      </c>
      <c r="D130" s="26">
        <f>VLOOKUP(Mapping!$D130,_90_1_2007,2,FALSE)</f>
        <v>2.4</v>
      </c>
      <c r="E130" s="26">
        <f>VLOOKUP(Mapping!$C130,_90_1_2010,2,FALSE)</f>
        <v>1.53</v>
      </c>
      <c r="F130" s="26">
        <f>VLOOKUP(Mapping!$C130,_90_1_2010,3,FALSE)</f>
        <v>4</v>
      </c>
      <c r="G130" s="134">
        <v>1</v>
      </c>
      <c r="H130" s="134">
        <f>VLOOKUP(Mapping!G130,_Plugs,13,FALSE)</f>
        <v>0.29844543263937018</v>
      </c>
      <c r="I130" s="134">
        <f>VLOOKUP(Mapping!$G130,_Plugs,14,FALSE)</f>
        <v>2</v>
      </c>
      <c r="J130" s="134">
        <f>VLOOKUP(Mapping!$G130,_Plugs,15,FALSE)</f>
        <v>0.54832713754646845</v>
      </c>
      <c r="K130" s="134">
        <f>VLOOKUP(Mapping!$G130,_Plugs,16,FALSE)</f>
        <v>0.4</v>
      </c>
      <c r="L130" s="135">
        <v>100</v>
      </c>
      <c r="M130" s="135">
        <v>100</v>
      </c>
      <c r="N130" s="135">
        <v>275</v>
      </c>
      <c r="O130" s="135">
        <v>475</v>
      </c>
      <c r="P130" s="134">
        <v>1.07</v>
      </c>
      <c r="Q130" s="134">
        <v>1.07</v>
      </c>
      <c r="R130" s="135">
        <f>VLOOKUP(Mapping!$J130,_ACM05,6,FALSE)</f>
        <v>60</v>
      </c>
      <c r="S130" s="135">
        <f>VLOOKUP(Mapping!$I130,_ECB_CS,4,FALSE)</f>
        <v>50</v>
      </c>
      <c r="T130" s="134">
        <f>VLOOKUP(Mapping!$H130,_CEUS,2,FALSE)</f>
        <v>2.2831050228310501E-2</v>
      </c>
      <c r="U130" s="134">
        <f>VLOOKUP(Mapping!$H130,_CEUS,3,FALSE)</f>
        <v>6.6210045662100453E-2</v>
      </c>
      <c r="V130" s="32" t="s">
        <v>51</v>
      </c>
      <c r="W130" s="32" t="s">
        <v>38</v>
      </c>
    </row>
    <row r="131" spans="1:23">
      <c r="A131" s="34" t="s">
        <v>824</v>
      </c>
      <c r="B131" s="27" t="s">
        <v>109</v>
      </c>
      <c r="C131" s="26">
        <f>VLOOKUP(Mapping!$E131,_90_1_2001,2,FALSE)</f>
        <v>0.8</v>
      </c>
      <c r="D131" s="26">
        <f>VLOOKUP(Mapping!$D131,_90_1_2007,2,FALSE)</f>
        <v>0.6</v>
      </c>
      <c r="E131" s="26">
        <f>VLOOKUP(Mapping!$C131,_90_1_2010,2,FALSE)</f>
        <v>0.4</v>
      </c>
      <c r="F131" s="26">
        <f>VLOOKUP(Mapping!$C131,_90_1_2010,3,FALSE)</f>
        <v>6</v>
      </c>
      <c r="G131" s="134">
        <v>0.5</v>
      </c>
      <c r="H131" s="134">
        <f>VLOOKUP(Mapping!G131,_Plugs,13,FALSE)</f>
        <v>0.82156974777792124</v>
      </c>
      <c r="I131" s="134">
        <f>VLOOKUP(Mapping!$G131,_Plugs,14,FALSE)</f>
        <v>2</v>
      </c>
      <c r="J131" s="134">
        <f>VLOOKUP(Mapping!$G131,_Plugs,15,FALSE)</f>
        <v>0.34386617100371747</v>
      </c>
      <c r="K131" s="134">
        <f>VLOOKUP(Mapping!$G131,_Plugs,16,FALSE)</f>
        <v>1</v>
      </c>
      <c r="L131" s="135">
        <v>7</v>
      </c>
      <c r="M131" s="135">
        <v>9</v>
      </c>
      <c r="N131" s="135">
        <v>245</v>
      </c>
      <c r="O131" s="135">
        <v>105</v>
      </c>
      <c r="P131" s="134">
        <v>1.07</v>
      </c>
      <c r="Q131" s="134">
        <v>1.07</v>
      </c>
      <c r="R131" s="135">
        <f>VLOOKUP(Mapping!$J131,_ACM05,6,FALSE)</f>
        <v>120</v>
      </c>
      <c r="S131" s="135">
        <f>VLOOKUP(Mapping!$I131,_ECB_CS,4,FALSE)</f>
        <v>0</v>
      </c>
      <c r="T131" s="134">
        <f>VLOOKUP(Mapping!$H131,_CEUS,2,FALSE)</f>
        <v>0.75342465753424659</v>
      </c>
      <c r="U131" s="134">
        <f>VLOOKUP(Mapping!$H131,_CEUS,3,FALSE)</f>
        <v>9.8173515981735154E-2</v>
      </c>
      <c r="V131" s="32" t="s">
        <v>35</v>
      </c>
      <c r="W131" s="32" t="s">
        <v>38</v>
      </c>
    </row>
    <row r="132" spans="1:23">
      <c r="A132" s="34" t="s">
        <v>824</v>
      </c>
      <c r="B132" s="27" t="s">
        <v>175</v>
      </c>
      <c r="C132" s="26" t="e">
        <f>VLOOKUP(Mapping!#REF!,_90_1_2001,2,FALSE)</f>
        <v>#REF!</v>
      </c>
      <c r="D132" s="26" t="e">
        <f>VLOOKUP(Mapping!#REF!,_90_1_2007,2,FALSE)</f>
        <v>#REF!</v>
      </c>
      <c r="E132" s="26" t="e">
        <f>VLOOKUP(Mapping!#REF!,_90_1_2010,2,FALSE)</f>
        <v>#REF!</v>
      </c>
      <c r="F132" s="26" t="e">
        <f>VLOOKUP(Mapping!#REF!,_90_1_2010,3,FALSE)</f>
        <v>#REF!</v>
      </c>
      <c r="G132" s="134">
        <v>1</v>
      </c>
      <c r="H132" s="134" t="e">
        <f>VLOOKUP(Mapping!#REF!,_Plugs,13,FALSE)</f>
        <v>#REF!</v>
      </c>
      <c r="I132" s="134" t="e">
        <f>VLOOKUP(Mapping!#REF!,_Plugs,14,FALSE)</f>
        <v>#REF!</v>
      </c>
      <c r="J132" s="134" t="e">
        <f>VLOOKUP(Mapping!#REF!,_Plugs,15,FALSE)</f>
        <v>#REF!</v>
      </c>
      <c r="K132" s="134" t="e">
        <f>VLOOKUP(Mapping!#REF!,_Plugs,16,FALSE)</f>
        <v>#REF!</v>
      </c>
      <c r="L132" s="135">
        <v>30</v>
      </c>
      <c r="M132" s="135">
        <v>60</v>
      </c>
      <c r="N132" s="135">
        <v>250</v>
      </c>
      <c r="O132" s="135">
        <v>200</v>
      </c>
      <c r="P132" s="134">
        <v>0.25</v>
      </c>
      <c r="Q132" s="134">
        <v>0.25</v>
      </c>
      <c r="R132" s="135" t="e">
        <f>VLOOKUP(Mapping!#REF!,_ACM05,6,FALSE)</f>
        <v>#REF!</v>
      </c>
      <c r="S132" s="135" t="e">
        <f>VLOOKUP(Mapping!#REF!,_ECB_CS,4,FALSE)</f>
        <v>#REF!</v>
      </c>
      <c r="T132" s="134" t="e">
        <f>VLOOKUP(Mapping!#REF!,_CEUS,2,FALSE)</f>
        <v>#REF!</v>
      </c>
      <c r="U132" s="134" t="e">
        <f>VLOOKUP(Mapping!#REF!,_CEUS,3,FALSE)</f>
        <v>#REF!</v>
      </c>
      <c r="V132" s="32" t="s">
        <v>51</v>
      </c>
      <c r="W132" s="32" t="s">
        <v>174</v>
      </c>
    </row>
    <row r="133" spans="1:23">
      <c r="A133" s="34" t="s">
        <v>733</v>
      </c>
      <c r="B133" s="27" t="s">
        <v>176</v>
      </c>
      <c r="C133" s="26">
        <f>VLOOKUP(Mapping!$E95,_90_1_2001,2,FALSE)</f>
        <v>2.1</v>
      </c>
      <c r="D133" s="26">
        <f>VLOOKUP(Mapping!$D95,_90_1_2007,2,FALSE)</f>
        <v>1.7</v>
      </c>
      <c r="E133" s="26">
        <f>VLOOKUP(Mapping!$C95,_90_1_2010,2,FALSE)</f>
        <v>1.68</v>
      </c>
      <c r="F133" s="26">
        <f>VLOOKUP(Mapping!$C95,_90_1_2010,3,FALSE)</f>
        <v>6</v>
      </c>
      <c r="G133" s="134">
        <v>0.5</v>
      </c>
      <c r="H133" s="134">
        <f>VLOOKUP(Mapping!G95,_Plugs,13,FALSE)</f>
        <v>0.549276732341064</v>
      </c>
      <c r="I133" s="134">
        <f>VLOOKUP(Mapping!$G95,_Plugs,14,FALSE)</f>
        <v>2</v>
      </c>
      <c r="J133" s="134">
        <f>VLOOKUP(Mapping!$G95,_Plugs,15,FALSE)</f>
        <v>0.34386617100371747</v>
      </c>
      <c r="K133" s="134">
        <f>VLOOKUP(Mapping!$G95,_Plugs,16,FALSE)</f>
        <v>1</v>
      </c>
      <c r="L133" s="135">
        <v>30</v>
      </c>
      <c r="M133" s="135">
        <v>60</v>
      </c>
      <c r="N133" s="135">
        <v>250</v>
      </c>
      <c r="O133" s="135">
        <v>250</v>
      </c>
      <c r="P133" s="134">
        <v>0.25</v>
      </c>
      <c r="Q133" s="134">
        <v>0.25</v>
      </c>
      <c r="R133" s="135">
        <f>VLOOKUP(Mapping!$J95,_ACM05,6,FALSE)</f>
        <v>120</v>
      </c>
      <c r="S133" s="135">
        <f>VLOOKUP(Mapping!$I95,_ECB_CS,4,FALSE)</f>
        <v>135</v>
      </c>
      <c r="T133" s="134">
        <f>VLOOKUP(Mapping!$H95,_CEUS,2,FALSE)</f>
        <v>9.1324200913242004E-2</v>
      </c>
      <c r="U133" s="134">
        <f>VLOOKUP(Mapping!$H95,_CEUS,3,FALSE)</f>
        <v>0.11757990867579908</v>
      </c>
      <c r="V133" s="32" t="s">
        <v>68</v>
      </c>
      <c r="W133" s="32" t="s">
        <v>174</v>
      </c>
    </row>
    <row r="134" spans="1:23">
      <c r="A134" s="34" t="s">
        <v>559</v>
      </c>
      <c r="B134" s="27" t="s">
        <v>141</v>
      </c>
      <c r="C134" s="26">
        <f>VLOOKUP(Mapping!$E78,_90_1_2001,2,FALSE)</f>
        <v>0.7</v>
      </c>
      <c r="D134" s="26">
        <f>VLOOKUP(Mapping!$D78,_90_1_2007,2,FALSE)</f>
        <v>0.6</v>
      </c>
      <c r="E134" s="26">
        <f>VLOOKUP(Mapping!$C78,_90_1_2010,2,FALSE)</f>
        <v>0.6</v>
      </c>
      <c r="F134" s="26">
        <f>VLOOKUP(Mapping!$C78,_90_1_2010,3,FALSE)</f>
        <v>4</v>
      </c>
      <c r="G134" s="134">
        <v>3</v>
      </c>
      <c r="H134" s="134">
        <f>VLOOKUP(Mapping!G78,_Plugs,13,FALSE)</f>
        <v>0.51912260356910667</v>
      </c>
      <c r="I134" s="134">
        <f>VLOOKUP(Mapping!$G78,_Plugs,14,FALSE)</f>
        <v>2</v>
      </c>
      <c r="J134" s="134">
        <f>VLOOKUP(Mapping!$G78,_Plugs,15,FALSE)</f>
        <v>0.54832713754646845</v>
      </c>
      <c r="K134" s="134">
        <f>VLOOKUP(Mapping!$G78,_Plugs,16,FALSE)</f>
        <v>1</v>
      </c>
      <c r="L134" s="135">
        <v>100</v>
      </c>
      <c r="M134" s="135">
        <v>100</v>
      </c>
      <c r="N134" s="135">
        <v>250</v>
      </c>
      <c r="O134" s="135">
        <v>250</v>
      </c>
      <c r="P134" s="134">
        <v>0.15</v>
      </c>
      <c r="Q134" s="134">
        <v>0.15</v>
      </c>
      <c r="R134" s="135">
        <f>VLOOKUP(Mapping!$J78,_ACM05,6,FALSE)</f>
        <v>385</v>
      </c>
      <c r="S134" s="135">
        <f>VLOOKUP(Mapping!$I78,_ECB_CS,4,FALSE)</f>
        <v>215</v>
      </c>
      <c r="T134" s="134" t="str">
        <f>VLOOKUP(Mapping!$H78,_CEUS,2,FALSE)</f>
        <v>n.a.</v>
      </c>
      <c r="U134" s="134" t="str">
        <f>VLOOKUP(Mapping!$H78,_CEUS,3,FALSE)</f>
        <v>n.a.</v>
      </c>
      <c r="V134" s="32" t="s">
        <v>47</v>
      </c>
      <c r="W134" s="32" t="s">
        <v>48</v>
      </c>
    </row>
    <row r="135" spans="1:23">
      <c r="A135" s="34" t="s">
        <v>545</v>
      </c>
      <c r="B135" s="27" t="s">
        <v>168</v>
      </c>
      <c r="C135" s="26" t="e">
        <f>VLOOKUP(Mapping!#REF!,_90_1_2001,2,FALSE)</f>
        <v>#REF!</v>
      </c>
      <c r="D135" s="26" t="e">
        <f>VLOOKUP(Mapping!#REF!,_90_1_2007,2,FALSE)</f>
        <v>#REF!</v>
      </c>
      <c r="E135" s="26" t="e">
        <f>VLOOKUP(Mapping!#REF!,_90_1_2010,2,FALSE)</f>
        <v>#REF!</v>
      </c>
      <c r="F135" s="26" t="e">
        <f>VLOOKUP(Mapping!#REF!,_90_1_2010,3,FALSE)</f>
        <v>#REF!</v>
      </c>
      <c r="G135" s="134">
        <v>0.2</v>
      </c>
      <c r="H135" s="134" t="e">
        <f>VLOOKUP(Mapping!#REF!,_Plugs,13,FALSE)</f>
        <v>#REF!</v>
      </c>
      <c r="I135" s="134" t="e">
        <f>VLOOKUP(Mapping!#REF!,_Plugs,14,FALSE)</f>
        <v>#REF!</v>
      </c>
      <c r="J135" s="134" t="e">
        <f>VLOOKUP(Mapping!#REF!,_Plugs,15,FALSE)</f>
        <v>#REF!</v>
      </c>
      <c r="K135" s="134" t="e">
        <f>VLOOKUP(Mapping!#REF!,_Plugs,16,FALSE)</f>
        <v>#REF!</v>
      </c>
      <c r="L135" s="135">
        <v>100</v>
      </c>
      <c r="M135" s="135">
        <v>100</v>
      </c>
      <c r="N135" s="135">
        <v>250</v>
      </c>
      <c r="O135" s="135">
        <v>250</v>
      </c>
      <c r="P135" s="134">
        <v>0.15</v>
      </c>
      <c r="Q135" s="134">
        <v>0.15</v>
      </c>
      <c r="R135" s="135" t="e">
        <f>VLOOKUP(Mapping!#REF!,_ACM05,6,FALSE)</f>
        <v>#REF!</v>
      </c>
      <c r="S135" s="135" t="e">
        <f>VLOOKUP(Mapping!#REF!,_ECB_CS,4,FALSE)</f>
        <v>#REF!</v>
      </c>
      <c r="T135" s="134" t="e">
        <f>VLOOKUP(Mapping!#REF!,_CEUS,2,FALSE)</f>
        <v>#REF!</v>
      </c>
      <c r="U135" s="134" t="e">
        <f>VLOOKUP(Mapping!#REF!,_CEUS,3,FALSE)</f>
        <v>#REF!</v>
      </c>
      <c r="V135" s="32" t="s">
        <v>51</v>
      </c>
      <c r="W135" s="32" t="s">
        <v>52</v>
      </c>
    </row>
    <row r="136" spans="1:23">
      <c r="A136" s="34" t="s">
        <v>565</v>
      </c>
      <c r="B136" s="27" t="s">
        <v>159</v>
      </c>
      <c r="C136" s="26">
        <f>VLOOKUP(Mapping!$E127,_90_1_2001,2,FALSE)</f>
        <v>2.5</v>
      </c>
      <c r="D136" s="26">
        <f>VLOOKUP(Mapping!$D127,_90_1_2007,2,FALSE)</f>
        <v>1.7</v>
      </c>
      <c r="E136" s="26">
        <f>VLOOKUP(Mapping!$C127,_90_1_2010,2,FALSE)</f>
        <v>1.02</v>
      </c>
      <c r="F136" s="26">
        <f>VLOOKUP(Mapping!$C127,_90_1_2010,3,FALSE)</f>
        <v>6</v>
      </c>
      <c r="G136" s="134">
        <v>1.5</v>
      </c>
      <c r="H136" s="134">
        <f>VLOOKUP(Mapping!G127,_Plugs,13,FALSE)</f>
        <v>0.42833678057910263</v>
      </c>
      <c r="I136" s="134">
        <f>VLOOKUP(Mapping!$G127,_Plugs,14,FALSE)</f>
        <v>2</v>
      </c>
      <c r="J136" s="134">
        <f>VLOOKUP(Mapping!$G127,_Plugs,15,FALSE)</f>
        <v>0.54832713754646845</v>
      </c>
      <c r="K136" s="134">
        <f>VLOOKUP(Mapping!$G127,_Plugs,16,FALSE)</f>
        <v>1</v>
      </c>
      <c r="L136" s="135">
        <v>15</v>
      </c>
      <c r="M136" s="135">
        <v>30</v>
      </c>
      <c r="N136" s="135">
        <v>250</v>
      </c>
      <c r="O136" s="135">
        <v>250</v>
      </c>
      <c r="P136" s="134">
        <v>0.5</v>
      </c>
      <c r="Q136" s="134">
        <v>0.5</v>
      </c>
      <c r="R136" s="135">
        <f>VLOOKUP(Mapping!$J127,_ACM05,6,FALSE)</f>
        <v>120</v>
      </c>
      <c r="S136" s="135">
        <f>VLOOKUP(Mapping!$I127,_ECB_CS,4,FALSE)</f>
        <v>175</v>
      </c>
      <c r="T136" s="134">
        <f>VLOOKUP(Mapping!$H127,_CEUS,2,FALSE)</f>
        <v>0.75342465753424659</v>
      </c>
      <c r="U136" s="134">
        <f>VLOOKUP(Mapping!$H127,_CEUS,3,FALSE)</f>
        <v>9.8173515981735154E-2</v>
      </c>
      <c r="V136" s="32" t="s">
        <v>51</v>
      </c>
      <c r="W136" s="32" t="s">
        <v>38</v>
      </c>
    </row>
    <row r="137" spans="1:23">
      <c r="A137" s="34" t="s">
        <v>565</v>
      </c>
      <c r="B137" s="27" t="s">
        <v>195</v>
      </c>
      <c r="C137" s="26">
        <f>VLOOKUP(Mapping!$E102,_90_1_2001,2,FALSE)</f>
        <v>2.5</v>
      </c>
      <c r="D137" s="26">
        <f>VLOOKUP(Mapping!$D102,_90_1_2007,2,FALSE)</f>
        <v>1.9</v>
      </c>
      <c r="E137" s="26">
        <f>VLOOKUP(Mapping!$C102,_90_1_2010,2,FALSE)</f>
        <v>1.59</v>
      </c>
      <c r="F137" s="26">
        <f>VLOOKUP(Mapping!$C102,_90_1_2010,3,FALSE)</f>
        <v>6</v>
      </c>
      <c r="G137" s="134">
        <v>0.2</v>
      </c>
      <c r="H137" s="134">
        <f>VLOOKUP(Mapping!G102,_Plugs,13,FALSE)</f>
        <v>0.42833678057910263</v>
      </c>
      <c r="I137" s="134">
        <f>VLOOKUP(Mapping!$G102,_Plugs,14,FALSE)</f>
        <v>2</v>
      </c>
      <c r="J137" s="134">
        <f>VLOOKUP(Mapping!$G102,_Plugs,15,FALSE)</f>
        <v>0.54832713754646845</v>
      </c>
      <c r="K137" s="134">
        <f>VLOOKUP(Mapping!$G102,_Plugs,16,FALSE)</f>
        <v>1</v>
      </c>
      <c r="L137" s="135">
        <v>1000</v>
      </c>
      <c r="M137" s="135">
        <v>500</v>
      </c>
      <c r="N137" s="135">
        <v>275</v>
      </c>
      <c r="O137" s="135">
        <v>475</v>
      </c>
      <c r="P137" s="134">
        <v>0.15</v>
      </c>
      <c r="Q137" s="134">
        <v>0.15</v>
      </c>
      <c r="R137" s="135">
        <f>VLOOKUP(Mapping!$J102,_ACM05,6,FALSE)</f>
        <v>120</v>
      </c>
      <c r="S137" s="135">
        <f>VLOOKUP(Mapping!$I102,_ECB_CS,4,FALSE)</f>
        <v>175</v>
      </c>
      <c r="T137" s="134">
        <f>VLOOKUP(Mapping!$H102,_CEUS,2,FALSE)</f>
        <v>0.75342465753424659</v>
      </c>
      <c r="U137" s="134">
        <f>VLOOKUP(Mapping!$H102,_CEUS,3,FALSE)</f>
        <v>9.8173515981735154E-2</v>
      </c>
      <c r="V137" s="32" t="s">
        <v>51</v>
      </c>
      <c r="W137" s="32" t="s">
        <v>83</v>
      </c>
    </row>
    <row r="138" spans="1:23">
      <c r="A138" s="34" t="s">
        <v>465</v>
      </c>
      <c r="B138" s="27" t="s">
        <v>93</v>
      </c>
      <c r="C138" s="26">
        <f>VLOOKUP(Mapping!$E101,_90_1_2001,2,FALSE)</f>
        <v>1.4</v>
      </c>
      <c r="D138" s="26">
        <f>VLOOKUP(Mapping!$D101,_90_1_2007,2,FALSE)</f>
        <v>0.7</v>
      </c>
      <c r="E138" s="26">
        <f>VLOOKUP(Mapping!$C101,_90_1_2010,2,FALSE)</f>
        <v>0.67</v>
      </c>
      <c r="F138" s="26">
        <f>VLOOKUP(Mapping!$C101,_90_1_2010,3,FALSE)</f>
        <v>4</v>
      </c>
      <c r="G138" s="134">
        <v>1</v>
      </c>
      <c r="H138" s="134">
        <f>VLOOKUP(Mapping!G101,_Plugs,13,FALSE)</f>
        <v>0.50325197968776458</v>
      </c>
      <c r="I138" s="134">
        <f>VLOOKUP(Mapping!$G101,_Plugs,14,FALSE)</f>
        <v>2</v>
      </c>
      <c r="J138" s="134">
        <f>VLOOKUP(Mapping!$G101,_Plugs,15,FALSE)</f>
        <v>0.54832713754646845</v>
      </c>
      <c r="K138" s="134">
        <f>VLOOKUP(Mapping!$G101,_Plugs,16,FALSE)</f>
        <v>1</v>
      </c>
      <c r="L138" s="135">
        <v>100</v>
      </c>
      <c r="M138" s="135">
        <v>100</v>
      </c>
      <c r="N138" s="135">
        <v>275</v>
      </c>
      <c r="O138" s="135">
        <v>475</v>
      </c>
      <c r="P138" s="134">
        <v>1.5</v>
      </c>
      <c r="Q138" s="134">
        <v>1.5</v>
      </c>
      <c r="R138" s="135">
        <f>VLOOKUP(Mapping!$J101,_ACM05,6,FALSE)</f>
        <v>120</v>
      </c>
      <c r="S138" s="135">
        <f>VLOOKUP(Mapping!$I101,_ECB_CS,4,FALSE)</f>
        <v>300</v>
      </c>
      <c r="T138" s="134">
        <f>VLOOKUP(Mapping!$H101,_CEUS,2,FALSE)</f>
        <v>0.75342465753424659</v>
      </c>
      <c r="U138" s="134">
        <f>VLOOKUP(Mapping!$H101,_CEUS,3,FALSE)</f>
        <v>9.8173515981735154E-2</v>
      </c>
      <c r="V138" s="32" t="s">
        <v>51</v>
      </c>
      <c r="W138" s="32" t="s">
        <v>36</v>
      </c>
    </row>
    <row r="139" spans="1:23">
      <c r="A139" s="34" t="s">
        <v>1252</v>
      </c>
      <c r="B139" s="27" t="s">
        <v>164</v>
      </c>
      <c r="C139" s="26">
        <f>VLOOKUP(Mapping!$E91,_90_1_2001,2,FALSE)</f>
        <v>0.2</v>
      </c>
      <c r="D139" s="26">
        <f>VLOOKUP(Mapping!$D91,_90_1_2007,2,FALSE)</f>
        <v>0.2</v>
      </c>
      <c r="E139" s="26">
        <f>VLOOKUP(Mapping!$C91,_90_1_2010,2,FALSE)</f>
        <v>0.19</v>
      </c>
      <c r="F139" s="26">
        <f>VLOOKUP(Mapping!$C91,_90_1_2010,3,FALSE)</f>
        <v>4</v>
      </c>
      <c r="G139" s="134">
        <v>1.5</v>
      </c>
      <c r="H139" s="134" t="str">
        <f>VLOOKUP(Mapping!G91,_Plugs,13,FALSE)</f>
        <v>n.a.</v>
      </c>
      <c r="I139" s="134" t="str">
        <f>VLOOKUP(Mapping!$G91,_Plugs,14,FALSE)</f>
        <v>n.a.</v>
      </c>
      <c r="J139" s="134" t="str">
        <f>VLOOKUP(Mapping!$G91,_Plugs,15,FALSE)</f>
        <v>n.a.</v>
      </c>
      <c r="K139" s="134" t="str">
        <f>VLOOKUP(Mapping!$G91,_Plugs,16,FALSE)</f>
        <v>n.a.</v>
      </c>
      <c r="L139" s="135">
        <v>100</v>
      </c>
      <c r="M139" s="135" t="s">
        <v>45</v>
      </c>
      <c r="N139" s="135">
        <v>250</v>
      </c>
      <c r="O139" s="135">
        <v>250</v>
      </c>
      <c r="P139" s="134">
        <v>0.15</v>
      </c>
      <c r="Q139" s="134">
        <v>0.15</v>
      </c>
      <c r="R139" s="135">
        <f>VLOOKUP(Mapping!$J91,_ACM05,6,FALSE)</f>
        <v>120</v>
      </c>
      <c r="S139" s="135">
        <f>VLOOKUP(Mapping!$I91,_ECB_CS,4,FALSE)</f>
        <v>0</v>
      </c>
      <c r="T139" s="134">
        <f>VLOOKUP(Mapping!$H91,_CEUS,2,FALSE)</f>
        <v>0</v>
      </c>
      <c r="U139" s="134">
        <f>VLOOKUP(Mapping!$H91,_CEUS,3,FALSE)</f>
        <v>3.1963470319634701E-2</v>
      </c>
      <c r="V139" s="32" t="s">
        <v>51</v>
      </c>
      <c r="W139" s="32" t="s">
        <v>69</v>
      </c>
    </row>
    <row r="140" spans="1:23">
      <c r="A140" s="34" t="s">
        <v>665</v>
      </c>
      <c r="B140" s="27" t="s">
        <v>110</v>
      </c>
      <c r="C140" s="26">
        <f>VLOOKUP(Mapping!$E72,_90_1_2001,2,FALSE)</f>
        <v>1.3</v>
      </c>
      <c r="D140" s="26">
        <f>VLOOKUP(Mapping!$D72,_90_1_2007,2,FALSE)</f>
        <v>1.5</v>
      </c>
      <c r="E140" s="26">
        <f>VLOOKUP(Mapping!$C72,_90_1_2010,2,FALSE)</f>
        <v>0.95</v>
      </c>
      <c r="F140" s="26">
        <f>VLOOKUP(Mapping!$C72,_90_1_2010,3,FALSE)</f>
        <v>6</v>
      </c>
      <c r="G140" s="134">
        <v>0.2</v>
      </c>
      <c r="H140" s="134">
        <f>VLOOKUP(Mapping!G72,_Plugs,13,FALSE)</f>
        <v>0.57608059373290121</v>
      </c>
      <c r="I140" s="134">
        <f>VLOOKUP(Mapping!$G72,_Plugs,14,FALSE)</f>
        <v>2</v>
      </c>
      <c r="J140" s="134">
        <f>VLOOKUP(Mapping!$G72,_Plugs,15,FALSE)</f>
        <v>0.54832713754646845</v>
      </c>
      <c r="K140" s="134">
        <f>VLOOKUP(Mapping!$G72,_Plugs,16,FALSE)</f>
        <v>1</v>
      </c>
      <c r="L140" s="135">
        <v>333</v>
      </c>
      <c r="M140" s="135">
        <v>750</v>
      </c>
      <c r="N140" s="135">
        <v>250</v>
      </c>
      <c r="O140" s="135">
        <v>250</v>
      </c>
      <c r="P140" s="134">
        <v>0.15</v>
      </c>
      <c r="Q140" s="134">
        <v>0.15</v>
      </c>
      <c r="R140" s="135">
        <f>VLOOKUP(Mapping!$J72,_ACM05,6,FALSE)</f>
        <v>120</v>
      </c>
      <c r="S140" s="135">
        <f>VLOOKUP(Mapping!$I72,_ECB_CS,4,FALSE)</f>
        <v>0</v>
      </c>
      <c r="T140" s="134">
        <f>VLOOKUP(Mapping!$H72,_CEUS,2,FALSE)</f>
        <v>0.75342465753424659</v>
      </c>
      <c r="U140" s="134">
        <f>VLOOKUP(Mapping!$H72,_CEUS,3,FALSE)</f>
        <v>9.8173515981735154E-2</v>
      </c>
      <c r="V140" s="32" t="s">
        <v>51</v>
      </c>
      <c r="W140" s="32" t="s">
        <v>36</v>
      </c>
    </row>
    <row r="141" spans="1:23">
      <c r="A141" s="34" t="s">
        <v>665</v>
      </c>
      <c r="B141" s="27" t="s">
        <v>111</v>
      </c>
      <c r="C141" s="26" t="e">
        <f>VLOOKUP(Mapping!#REF!,_90_1_2001,2,FALSE)</f>
        <v>#REF!</v>
      </c>
      <c r="D141" s="26" t="e">
        <f>VLOOKUP(Mapping!#REF!,_90_1_2007,2,FALSE)</f>
        <v>#REF!</v>
      </c>
      <c r="E141" s="26" t="e">
        <f>VLOOKUP(Mapping!#REF!,_90_1_2010,2,FALSE)</f>
        <v>#REF!</v>
      </c>
      <c r="F141" s="26" t="e">
        <f>VLOOKUP(Mapping!#REF!,_90_1_2010,3,FALSE)</f>
        <v>#REF!</v>
      </c>
      <c r="G141" s="134">
        <v>0.2</v>
      </c>
      <c r="H141" s="134" t="e">
        <f>VLOOKUP(Mapping!#REF!,_Plugs,13,FALSE)</f>
        <v>#REF!</v>
      </c>
      <c r="I141" s="134" t="e">
        <f>VLOOKUP(Mapping!#REF!,_Plugs,14,FALSE)</f>
        <v>#REF!</v>
      </c>
      <c r="J141" s="134" t="e">
        <f>VLOOKUP(Mapping!#REF!,_Plugs,15,FALSE)</f>
        <v>#REF!</v>
      </c>
      <c r="K141" s="134" t="e">
        <f>VLOOKUP(Mapping!#REF!,_Plugs,16,FALSE)</f>
        <v>#REF!</v>
      </c>
      <c r="L141" s="135">
        <v>333</v>
      </c>
      <c r="M141" s="135">
        <v>750</v>
      </c>
      <c r="N141" s="135">
        <v>250</v>
      </c>
      <c r="O141" s="135">
        <v>250</v>
      </c>
      <c r="P141" s="134">
        <v>0.15</v>
      </c>
      <c r="Q141" s="134">
        <v>0.15</v>
      </c>
      <c r="R141" s="135" t="e">
        <f>VLOOKUP(Mapping!#REF!,_ACM05,6,FALSE)</f>
        <v>#REF!</v>
      </c>
      <c r="S141" s="135" t="e">
        <f>VLOOKUP(Mapping!#REF!,_ECB_CS,4,FALSE)</f>
        <v>#REF!</v>
      </c>
      <c r="T141" s="134" t="e">
        <f>VLOOKUP(Mapping!#REF!,_CEUS,2,FALSE)</f>
        <v>#REF!</v>
      </c>
      <c r="U141" s="134" t="e">
        <f>VLOOKUP(Mapping!#REF!,_CEUS,3,FALSE)</f>
        <v>#REF!</v>
      </c>
      <c r="V141" s="32" t="s">
        <v>51</v>
      </c>
      <c r="W141" s="32" t="s">
        <v>36</v>
      </c>
    </row>
    <row r="142" spans="1:23">
      <c r="C142" s="26"/>
      <c r="D142" s="26"/>
      <c r="E142" s="26"/>
      <c r="F142" s="26"/>
    </row>
    <row r="143" spans="1:23">
      <c r="C143" s="26"/>
      <c r="D143" s="26"/>
      <c r="E143" s="26"/>
      <c r="F143" s="26"/>
    </row>
  </sheetData>
  <sortState xmlns:xlrd2="http://schemas.microsoft.com/office/spreadsheetml/2017/richdata2" ref="A39:W141">
    <sortCondition ref="A39:A141"/>
  </sortState>
  <mergeCells count="16">
    <mergeCell ref="V1:W1"/>
    <mergeCell ref="C2:F2"/>
    <mergeCell ref="G2:H2"/>
    <mergeCell ref="I2:K2"/>
    <mergeCell ref="L2:M2"/>
    <mergeCell ref="N2:O2"/>
    <mergeCell ref="P2:Q2"/>
    <mergeCell ref="R2:S2"/>
    <mergeCell ref="T2:T3"/>
    <mergeCell ref="U2:U3"/>
    <mergeCell ref="C1:F1"/>
    <mergeCell ref="G1:K1"/>
    <mergeCell ref="L1:O1"/>
    <mergeCell ref="P1:Q1"/>
    <mergeCell ref="R1:S1"/>
    <mergeCell ref="T1:U1"/>
  </mergeCells>
  <dataValidations count="1">
    <dataValidation type="list" allowBlank="1" showInputMessage="1" showErrorMessage="1" sqref="A39:A154" xr:uid="{00000000-0002-0000-1000-000000000000}">
      <formula1>$A$3:$A$73</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000-000001000000}">
          <x14:formula1>
            <xm:f>'CBECS-2003'!$A$3:$A$73</xm:f>
          </x14:formula1>
          <xm:sqref>A5:A37</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C148"/>
  <sheetViews>
    <sheetView workbookViewId="0">
      <selection activeCell="A128" sqref="A128"/>
    </sheetView>
  </sheetViews>
  <sheetFormatPr defaultRowHeight="12.75"/>
  <cols>
    <col min="1" max="1" width="47" customWidth="1"/>
    <col min="2" max="2" width="55.42578125" customWidth="1"/>
    <col min="3" max="3" width="61.85546875" style="86" customWidth="1"/>
  </cols>
  <sheetData>
    <row r="1" spans="1:3">
      <c r="B1" t="s">
        <v>1590</v>
      </c>
      <c r="C1" s="86">
        <v>3</v>
      </c>
    </row>
    <row r="4" spans="1:3">
      <c r="A4" s="21" t="s">
        <v>1591</v>
      </c>
      <c r="B4" s="21" t="s">
        <v>455</v>
      </c>
      <c r="C4" s="86" t="s">
        <v>1592</v>
      </c>
    </row>
    <row r="5" spans="1:3">
      <c r="A5" t="s">
        <v>465</v>
      </c>
      <c r="B5" t="s">
        <v>220</v>
      </c>
    </row>
    <row r="6" spans="1:3">
      <c r="A6" t="s">
        <v>470</v>
      </c>
      <c r="B6" t="s">
        <v>222</v>
      </c>
    </row>
    <row r="7" spans="1:3">
      <c r="A7" t="s">
        <v>476</v>
      </c>
      <c r="B7" s="27" t="s">
        <v>224</v>
      </c>
      <c r="C7" s="86">
        <v>2</v>
      </c>
    </row>
    <row r="8" spans="1:3">
      <c r="A8" t="s">
        <v>481</v>
      </c>
      <c r="B8" t="s">
        <v>226</v>
      </c>
    </row>
    <row r="9" spans="1:3">
      <c r="A9" t="s">
        <v>487</v>
      </c>
      <c r="B9" t="s">
        <v>228</v>
      </c>
    </row>
    <row r="10" spans="1:3">
      <c r="A10" t="s">
        <v>490</v>
      </c>
      <c r="B10" t="s">
        <v>229</v>
      </c>
    </row>
    <row r="11" spans="1:3">
      <c r="A11" t="s">
        <v>491</v>
      </c>
      <c r="B11" t="s">
        <v>230</v>
      </c>
    </row>
    <row r="12" spans="1:3">
      <c r="A12" t="s">
        <v>496</v>
      </c>
      <c r="B12" t="s">
        <v>232</v>
      </c>
    </row>
    <row r="13" spans="1:3">
      <c r="A13" t="s">
        <v>500</v>
      </c>
      <c r="B13" t="s">
        <v>233</v>
      </c>
    </row>
    <row r="14" spans="1:3">
      <c r="A14" t="s">
        <v>496</v>
      </c>
      <c r="B14" t="s">
        <v>235</v>
      </c>
    </row>
    <row r="15" spans="1:3">
      <c r="A15" t="s">
        <v>507</v>
      </c>
      <c r="B15" s="27" t="s">
        <v>237</v>
      </c>
    </row>
    <row r="16" spans="1:3">
      <c r="A16" t="s">
        <v>511</v>
      </c>
      <c r="B16" t="s">
        <v>238</v>
      </c>
    </row>
    <row r="17" spans="1:2">
      <c r="A17" t="s">
        <v>515</v>
      </c>
      <c r="B17" t="s">
        <v>513</v>
      </c>
    </row>
    <row r="18" spans="1:2">
      <c r="A18" t="s">
        <v>516</v>
      </c>
      <c r="B18" t="s">
        <v>241</v>
      </c>
    </row>
    <row r="19" spans="1:2">
      <c r="A19" t="s">
        <v>520</v>
      </c>
      <c r="B19" t="s">
        <v>243</v>
      </c>
    </row>
    <row r="20" spans="1:2">
      <c r="A20" t="s">
        <v>515</v>
      </c>
      <c r="B20" t="s">
        <v>244</v>
      </c>
    </row>
    <row r="21" spans="1:2">
      <c r="A21" t="s">
        <v>525</v>
      </c>
      <c r="B21" t="s">
        <v>245</v>
      </c>
    </row>
    <row r="22" spans="1:2">
      <c r="A22" s="73" t="s">
        <v>529</v>
      </c>
      <c r="B22" s="27" t="s">
        <v>246</v>
      </c>
    </row>
    <row r="23" spans="1:2">
      <c r="A23" t="s">
        <v>525</v>
      </c>
      <c r="B23" t="s">
        <v>247</v>
      </c>
    </row>
    <row r="24" spans="1:2">
      <c r="A24" t="s">
        <v>534</v>
      </c>
      <c r="B24" t="s">
        <v>248</v>
      </c>
    </row>
    <row r="25" spans="1:2">
      <c r="A25" s="73" t="s">
        <v>1252</v>
      </c>
      <c r="B25" t="s">
        <v>249</v>
      </c>
    </row>
    <row r="26" spans="1:2">
      <c r="A26" t="s">
        <v>540</v>
      </c>
      <c r="B26" t="s">
        <v>251</v>
      </c>
    </row>
    <row r="27" spans="1:2">
      <c r="A27" t="s">
        <v>525</v>
      </c>
      <c r="B27" t="s">
        <v>252</v>
      </c>
    </row>
    <row r="28" spans="1:2">
      <c r="A28" t="s">
        <v>500</v>
      </c>
      <c r="B28" s="27" t="s">
        <v>253</v>
      </c>
    </row>
    <row r="29" spans="1:2">
      <c r="A29" t="s">
        <v>545</v>
      </c>
      <c r="B29" t="s">
        <v>254</v>
      </c>
    </row>
    <row r="30" spans="1:2">
      <c r="A30" t="s">
        <v>548</v>
      </c>
      <c r="B30" t="s">
        <v>255</v>
      </c>
    </row>
    <row r="31" spans="1:2">
      <c r="A31" t="s">
        <v>550</v>
      </c>
      <c r="B31" t="s">
        <v>256</v>
      </c>
    </row>
    <row r="32" spans="1:2">
      <c r="A32" t="s">
        <v>553</v>
      </c>
      <c r="B32" t="s">
        <v>257</v>
      </c>
    </row>
    <row r="33" spans="1:2">
      <c r="A33" t="s">
        <v>470</v>
      </c>
      <c r="B33" t="s">
        <v>259</v>
      </c>
    </row>
    <row r="34" spans="1:2">
      <c r="A34" t="s">
        <v>470</v>
      </c>
      <c r="B34" t="s">
        <v>260</v>
      </c>
    </row>
    <row r="35" spans="1:2">
      <c r="A35" t="s">
        <v>559</v>
      </c>
      <c r="B35" t="s">
        <v>261</v>
      </c>
    </row>
    <row r="36" spans="1:2">
      <c r="A36" t="s">
        <v>562</v>
      </c>
      <c r="B36" t="s">
        <v>262</v>
      </c>
    </row>
    <row r="37" spans="1:2">
      <c r="A37" t="s">
        <v>565</v>
      </c>
      <c r="B37" t="s">
        <v>264</v>
      </c>
    </row>
    <row r="38" spans="1:2">
      <c r="A38" s="21" t="s">
        <v>1591</v>
      </c>
      <c r="B38" s="21" t="s">
        <v>455</v>
      </c>
    </row>
    <row r="39" spans="1:2">
      <c r="A39" s="69" t="s">
        <v>1253</v>
      </c>
      <c r="B39" t="s">
        <v>606</v>
      </c>
    </row>
    <row r="40" spans="1:2">
      <c r="A40" s="69" t="s">
        <v>1253</v>
      </c>
      <c r="B40" t="s">
        <v>610</v>
      </c>
    </row>
    <row r="41" spans="1:2">
      <c r="A41" s="34" t="s">
        <v>470</v>
      </c>
      <c r="B41" s="34" t="s">
        <v>567</v>
      </c>
    </row>
    <row r="42" spans="1:2">
      <c r="A42" s="34" t="s">
        <v>470</v>
      </c>
      <c r="B42" s="34" t="s">
        <v>581</v>
      </c>
    </row>
    <row r="43" spans="1:2">
      <c r="A43" s="34" t="s">
        <v>470</v>
      </c>
      <c r="B43" s="34" t="s">
        <v>588</v>
      </c>
    </row>
    <row r="44" spans="1:2">
      <c r="A44" s="34" t="s">
        <v>465</v>
      </c>
      <c r="B44" s="34" t="s">
        <v>753</v>
      </c>
    </row>
    <row r="45" spans="1:2">
      <c r="A45" s="34" t="s">
        <v>614</v>
      </c>
      <c r="B45" s="34" t="s">
        <v>612</v>
      </c>
    </row>
    <row r="46" spans="1:2">
      <c r="A46" s="34" t="s">
        <v>619</v>
      </c>
      <c r="B46" s="34" t="s">
        <v>617</v>
      </c>
    </row>
    <row r="47" spans="1:2">
      <c r="A47" s="34" t="s">
        <v>595</v>
      </c>
      <c r="B47" s="34" t="s">
        <v>622</v>
      </c>
    </row>
    <row r="48" spans="1:2">
      <c r="A48" s="34" t="s">
        <v>470</v>
      </c>
      <c r="B48" s="34" t="s">
        <v>570</v>
      </c>
    </row>
    <row r="49" spans="1:2">
      <c r="A49" s="34" t="s">
        <v>470</v>
      </c>
      <c r="B49" s="34" t="s">
        <v>760</v>
      </c>
    </row>
    <row r="50" spans="1:2">
      <c r="A50" s="69" t="s">
        <v>1253</v>
      </c>
      <c r="B50" s="34" t="s">
        <v>631</v>
      </c>
    </row>
    <row r="51" spans="1:2">
      <c r="A51" s="34" t="s">
        <v>540</v>
      </c>
      <c r="B51" s="34" t="s">
        <v>625</v>
      </c>
    </row>
    <row r="52" spans="1:2">
      <c r="A52" s="34" t="s">
        <v>540</v>
      </c>
      <c r="B52" s="34" t="s">
        <v>644</v>
      </c>
    </row>
    <row r="53" spans="1:2">
      <c r="A53" s="34" t="s">
        <v>540</v>
      </c>
      <c r="B53" s="34" t="s">
        <v>675</v>
      </c>
    </row>
    <row r="54" spans="1:2">
      <c r="A54" s="34" t="s">
        <v>490</v>
      </c>
      <c r="B54" s="34" t="s">
        <v>660</v>
      </c>
    </row>
    <row r="55" spans="1:2">
      <c r="A55" s="34" t="s">
        <v>490</v>
      </c>
      <c r="B55" s="34" t="s">
        <v>652</v>
      </c>
    </row>
    <row r="56" spans="1:2">
      <c r="A56" s="34" t="s">
        <v>481</v>
      </c>
      <c r="B56" s="34" t="s">
        <v>656</v>
      </c>
    </row>
    <row r="57" spans="1:2">
      <c r="A57" s="34" t="s">
        <v>491</v>
      </c>
      <c r="B57" s="34" t="s">
        <v>763</v>
      </c>
    </row>
    <row r="58" spans="1:2">
      <c r="A58" s="34" t="s">
        <v>824</v>
      </c>
      <c r="B58" s="34" t="s">
        <v>823</v>
      </c>
    </row>
    <row r="59" spans="1:2">
      <c r="A59" s="34" t="s">
        <v>665</v>
      </c>
      <c r="B59" s="34" t="s">
        <v>662</v>
      </c>
    </row>
    <row r="60" spans="1:2">
      <c r="A60" s="34" t="s">
        <v>665</v>
      </c>
      <c r="B60" s="34" t="s">
        <v>662</v>
      </c>
    </row>
    <row r="61" spans="1:2">
      <c r="A61" s="34" t="s">
        <v>500</v>
      </c>
      <c r="B61" s="34" t="s">
        <v>1254</v>
      </c>
    </row>
    <row r="62" spans="1:2">
      <c r="A62" s="34" t="s">
        <v>500</v>
      </c>
      <c r="B62" s="34" t="s">
        <v>765</v>
      </c>
    </row>
    <row r="63" spans="1:2">
      <c r="A63" s="34" t="s">
        <v>481</v>
      </c>
      <c r="B63" s="34" t="s">
        <v>667</v>
      </c>
    </row>
    <row r="64" spans="1:2">
      <c r="A64" s="34" t="s">
        <v>496</v>
      </c>
      <c r="B64" s="34" t="s">
        <v>767</v>
      </c>
    </row>
    <row r="65" spans="1:2">
      <c r="A65" s="34" t="s">
        <v>496</v>
      </c>
      <c r="B65" s="34" t="s">
        <v>575</v>
      </c>
    </row>
    <row r="66" spans="1:2">
      <c r="A66" s="34" t="s">
        <v>496</v>
      </c>
      <c r="B66" s="34" t="s">
        <v>770</v>
      </c>
    </row>
    <row r="67" spans="1:2">
      <c r="A67" s="34" t="s">
        <v>632</v>
      </c>
      <c r="B67" s="34" t="s">
        <v>672</v>
      </c>
    </row>
    <row r="68" spans="1:2">
      <c r="A68" s="34" t="s">
        <v>638</v>
      </c>
      <c r="B68" s="34" t="s">
        <v>635</v>
      </c>
    </row>
    <row r="69" spans="1:2">
      <c r="A69" s="34" t="s">
        <v>638</v>
      </c>
      <c r="B69" s="34" t="s">
        <v>773</v>
      </c>
    </row>
    <row r="70" spans="1:2">
      <c r="A70" s="34" t="s">
        <v>638</v>
      </c>
      <c r="B70" s="34" t="s">
        <v>776</v>
      </c>
    </row>
    <row r="71" spans="1:2">
      <c r="A71" s="34" t="s">
        <v>638</v>
      </c>
      <c r="B71" s="34" t="s">
        <v>686</v>
      </c>
    </row>
    <row r="72" spans="1:2">
      <c r="A72" s="34" t="s">
        <v>638</v>
      </c>
      <c r="B72" s="34" t="s">
        <v>715</v>
      </c>
    </row>
    <row r="73" spans="1:2">
      <c r="A73" s="34" t="s">
        <v>638</v>
      </c>
      <c r="B73" s="34" t="s">
        <v>743</v>
      </c>
    </row>
    <row r="74" spans="1:2">
      <c r="A74" s="34" t="s">
        <v>638</v>
      </c>
      <c r="B74" s="34" t="s">
        <v>779</v>
      </c>
    </row>
    <row r="75" spans="1:2">
      <c r="A75" s="34" t="s">
        <v>638</v>
      </c>
      <c r="B75" s="34" t="s">
        <v>782</v>
      </c>
    </row>
    <row r="76" spans="1:2">
      <c r="A76" s="34" t="s">
        <v>638</v>
      </c>
      <c r="B76" s="34" t="s">
        <v>784</v>
      </c>
    </row>
    <row r="77" spans="1:2">
      <c r="A77" s="34" t="s">
        <v>638</v>
      </c>
      <c r="B77" s="34" t="s">
        <v>786</v>
      </c>
    </row>
    <row r="78" spans="1:2">
      <c r="A78" s="34" t="s">
        <v>638</v>
      </c>
      <c r="B78" s="34" t="s">
        <v>731</v>
      </c>
    </row>
    <row r="79" spans="1:2">
      <c r="A79" s="34" t="s">
        <v>638</v>
      </c>
      <c r="B79" s="34" t="s">
        <v>788</v>
      </c>
    </row>
    <row r="80" spans="1:2">
      <c r="A80" s="34" t="s">
        <v>638</v>
      </c>
      <c r="B80" s="34" t="s">
        <v>1255</v>
      </c>
    </row>
    <row r="81" spans="1:2">
      <c r="A81" s="34" t="s">
        <v>638</v>
      </c>
      <c r="B81" s="34" t="s">
        <v>791</v>
      </c>
    </row>
    <row r="82" spans="1:2">
      <c r="A82" s="34" t="s">
        <v>490</v>
      </c>
      <c r="B82" s="34" t="s">
        <v>1256</v>
      </c>
    </row>
    <row r="83" spans="1:2">
      <c r="A83" s="34" t="s">
        <v>515</v>
      </c>
      <c r="B83" s="34" t="s">
        <v>672</v>
      </c>
    </row>
    <row r="84" spans="1:2">
      <c r="A84" s="34" t="s">
        <v>837</v>
      </c>
      <c r="B84" s="34" t="s">
        <v>700</v>
      </c>
    </row>
    <row r="85" spans="1:2">
      <c r="A85" s="34" t="s">
        <v>490</v>
      </c>
      <c r="B85" s="34" t="s">
        <v>1257</v>
      </c>
    </row>
    <row r="86" spans="1:2">
      <c r="A86" s="34" t="s">
        <v>1258</v>
      </c>
      <c r="B86" s="34" t="s">
        <v>1259</v>
      </c>
    </row>
    <row r="87" spans="1:2">
      <c r="A87" s="34" t="s">
        <v>680</v>
      </c>
      <c r="B87" s="34" t="s">
        <v>679</v>
      </c>
    </row>
    <row r="88" spans="1:2">
      <c r="A88" s="34" t="s">
        <v>680</v>
      </c>
      <c r="B88" s="34" t="s">
        <v>681</v>
      </c>
    </row>
    <row r="89" spans="1:2">
      <c r="A89" s="34" t="s">
        <v>559</v>
      </c>
      <c r="B89" s="34" t="s">
        <v>686</v>
      </c>
    </row>
    <row r="90" spans="1:2">
      <c r="A90" s="34" t="s">
        <v>516</v>
      </c>
      <c r="B90" s="34" t="s">
        <v>1260</v>
      </c>
    </row>
    <row r="91" spans="1:2">
      <c r="A91" s="34" t="s">
        <v>516</v>
      </c>
      <c r="B91" s="34" t="s">
        <v>794</v>
      </c>
    </row>
    <row r="92" spans="1:2">
      <c r="A92" s="34" t="s">
        <v>516</v>
      </c>
      <c r="B92" s="34" t="s">
        <v>798</v>
      </c>
    </row>
    <row r="93" spans="1:2">
      <c r="A93" s="34" t="s">
        <v>837</v>
      </c>
      <c r="B93" s="34" t="s">
        <v>693</v>
      </c>
    </row>
    <row r="94" spans="1:2">
      <c r="A94" s="34" t="s">
        <v>837</v>
      </c>
      <c r="B94" s="34" t="s">
        <v>697</v>
      </c>
    </row>
    <row r="95" spans="1:2">
      <c r="A95" s="34" t="s">
        <v>525</v>
      </c>
      <c r="B95" s="34" t="s">
        <v>703</v>
      </c>
    </row>
    <row r="96" spans="1:2">
      <c r="A96" s="34" t="s">
        <v>525</v>
      </c>
      <c r="B96" s="34" t="s">
        <v>707</v>
      </c>
    </row>
    <row r="97" spans="1:2">
      <c r="A97" s="34" t="s">
        <v>1253</v>
      </c>
      <c r="B97" s="34" t="s">
        <v>711</v>
      </c>
    </row>
    <row r="98" spans="1:2">
      <c r="A98" s="34" t="s">
        <v>496</v>
      </c>
      <c r="B98" s="34" t="s">
        <v>720</v>
      </c>
    </row>
    <row r="99" spans="1:2">
      <c r="A99" s="34" t="s">
        <v>534</v>
      </c>
      <c r="B99" s="34" t="s">
        <v>662</v>
      </c>
    </row>
    <row r="100" spans="1:2">
      <c r="A100" s="34" t="s">
        <v>520</v>
      </c>
      <c r="B100" s="34" t="s">
        <v>639</v>
      </c>
    </row>
    <row r="101" spans="1:2">
      <c r="A101" s="34" t="s">
        <v>520</v>
      </c>
      <c r="B101" s="34" t="s">
        <v>801</v>
      </c>
    </row>
    <row r="102" spans="1:2">
      <c r="A102" s="34" t="s">
        <v>520</v>
      </c>
      <c r="B102" s="34" t="s">
        <v>647</v>
      </c>
    </row>
    <row r="103" spans="1:2">
      <c r="A103" s="34" t="s">
        <v>520</v>
      </c>
      <c r="B103" s="34" t="s">
        <v>805</v>
      </c>
    </row>
    <row r="104" spans="1:2">
      <c r="A104" s="34" t="s">
        <v>520</v>
      </c>
      <c r="B104" s="34" t="s">
        <v>807</v>
      </c>
    </row>
    <row r="105" spans="1:2">
      <c r="A105" s="34" t="s">
        <v>520</v>
      </c>
      <c r="B105" s="34" t="s">
        <v>808</v>
      </c>
    </row>
    <row r="106" spans="1:2">
      <c r="A106" s="34" t="s">
        <v>525</v>
      </c>
      <c r="B106" s="34" t="s">
        <v>810</v>
      </c>
    </row>
    <row r="107" spans="1:2">
      <c r="A107" s="34" t="s">
        <v>565</v>
      </c>
      <c r="B107" s="34" t="s">
        <v>813</v>
      </c>
    </row>
    <row r="108" spans="1:2">
      <c r="A108" s="34" t="s">
        <v>749</v>
      </c>
      <c r="B108" s="34" t="s">
        <v>747</v>
      </c>
    </row>
    <row r="109" spans="1:2">
      <c r="A109" s="34" t="s">
        <v>749</v>
      </c>
      <c r="B109" s="34" t="s">
        <v>747</v>
      </c>
    </row>
    <row r="110" spans="1:2">
      <c r="A110" s="34" t="s">
        <v>534</v>
      </c>
      <c r="B110" s="34" t="s">
        <v>724</v>
      </c>
    </row>
    <row r="111" spans="1:2">
      <c r="A111" s="34" t="s">
        <v>534</v>
      </c>
      <c r="B111" s="34" t="s">
        <v>726</v>
      </c>
    </row>
    <row r="112" spans="1:2">
      <c r="A112" s="34" t="s">
        <v>1252</v>
      </c>
      <c r="B112" s="34" t="s">
        <v>728</v>
      </c>
    </row>
    <row r="113" spans="1:2">
      <c r="A113" s="34" t="s">
        <v>837</v>
      </c>
      <c r="B113" s="34" t="s">
        <v>1261</v>
      </c>
    </row>
    <row r="114" spans="1:2">
      <c r="A114" s="34" t="s">
        <v>619</v>
      </c>
      <c r="B114" s="34" t="s">
        <v>1262</v>
      </c>
    </row>
    <row r="115" spans="1:2">
      <c r="A115" s="34" t="s">
        <v>490</v>
      </c>
      <c r="B115" s="34" t="s">
        <v>1263</v>
      </c>
    </row>
    <row r="116" spans="1:2">
      <c r="A116" s="34" t="s">
        <v>545</v>
      </c>
      <c r="B116" s="34" t="s">
        <v>815</v>
      </c>
    </row>
    <row r="117" spans="1:2">
      <c r="A117" s="34" t="s">
        <v>548</v>
      </c>
      <c r="B117" s="34" t="s">
        <v>592</v>
      </c>
    </row>
    <row r="118" spans="1:2">
      <c r="A118" s="34" t="s">
        <v>548</v>
      </c>
      <c r="B118" s="34" t="s">
        <v>818</v>
      </c>
    </row>
    <row r="119" spans="1:2">
      <c r="A119" s="34" t="s">
        <v>548</v>
      </c>
      <c r="B119" s="34" t="s">
        <v>820</v>
      </c>
    </row>
    <row r="120" spans="1:2">
      <c r="A120" s="34" t="s">
        <v>1253</v>
      </c>
      <c r="B120" s="34" t="s">
        <v>735</v>
      </c>
    </row>
    <row r="121" spans="1:2">
      <c r="A121" s="34" t="s">
        <v>1253</v>
      </c>
      <c r="B121" s="34" t="s">
        <v>1264</v>
      </c>
    </row>
    <row r="122" spans="1:2">
      <c r="A122" s="34" t="s">
        <v>824</v>
      </c>
      <c r="B122" s="34" t="s">
        <v>825</v>
      </c>
    </row>
    <row r="123" spans="1:2">
      <c r="A123" s="34" t="s">
        <v>733</v>
      </c>
      <c r="B123" s="34" t="s">
        <v>738</v>
      </c>
    </row>
    <row r="124" spans="1:2">
      <c r="A124" s="34" t="s">
        <v>837</v>
      </c>
      <c r="B124" s="34" t="s">
        <v>598</v>
      </c>
    </row>
    <row r="125" spans="1:2">
      <c r="A125" s="34" t="s">
        <v>496</v>
      </c>
      <c r="B125" s="34" t="s">
        <v>829</v>
      </c>
    </row>
    <row r="126" spans="1:2">
      <c r="A126" s="34" t="s">
        <v>496</v>
      </c>
      <c r="B126" s="34" t="s">
        <v>831</v>
      </c>
    </row>
    <row r="127" spans="1:2">
      <c r="A127" s="34" t="s">
        <v>496</v>
      </c>
      <c r="B127" s="34" t="s">
        <v>833</v>
      </c>
    </row>
    <row r="128" spans="1:2">
      <c r="A128" s="34" t="s">
        <v>496</v>
      </c>
      <c r="B128" s="34" t="s">
        <v>834</v>
      </c>
    </row>
    <row r="129" spans="1:2">
      <c r="A129" s="34" t="s">
        <v>496</v>
      </c>
      <c r="B129" s="34" t="s">
        <v>1265</v>
      </c>
    </row>
    <row r="130" spans="1:2">
      <c r="A130" s="34" t="s">
        <v>496</v>
      </c>
      <c r="B130" s="34" t="s">
        <v>1266</v>
      </c>
    </row>
    <row r="131" spans="1:2">
      <c r="A131" s="34" t="s">
        <v>1253</v>
      </c>
      <c r="B131" t="s">
        <v>740</v>
      </c>
    </row>
    <row r="132" spans="1:2">
      <c r="A132" s="34" t="s">
        <v>749</v>
      </c>
      <c r="B132" s="34" t="s">
        <v>747</v>
      </c>
    </row>
    <row r="133" spans="1:2">
      <c r="A133" s="34" t="s">
        <v>749</v>
      </c>
      <c r="B133" s="34" t="s">
        <v>747</v>
      </c>
    </row>
    <row r="134" spans="1:2">
      <c r="A134" s="34" t="s">
        <v>837</v>
      </c>
      <c r="B134" s="34" t="s">
        <v>835</v>
      </c>
    </row>
    <row r="135" spans="1:2">
      <c r="A135" s="34" t="s">
        <v>837</v>
      </c>
      <c r="B135" s="34" t="s">
        <v>839</v>
      </c>
    </row>
    <row r="136" spans="1:2">
      <c r="A136" s="34" t="s">
        <v>837</v>
      </c>
      <c r="B136" s="34" t="s">
        <v>601</v>
      </c>
    </row>
    <row r="137" spans="1:2">
      <c r="A137" s="34" t="s">
        <v>837</v>
      </c>
      <c r="B137" s="34" t="s">
        <v>841</v>
      </c>
    </row>
    <row r="138" spans="1:2">
      <c r="A138" s="34" t="s">
        <v>749</v>
      </c>
      <c r="B138" s="34" t="s">
        <v>844</v>
      </c>
    </row>
    <row r="139" spans="1:2">
      <c r="A139" s="34" t="s">
        <v>749</v>
      </c>
      <c r="B139" s="34" t="s">
        <v>690</v>
      </c>
    </row>
    <row r="140" spans="1:2">
      <c r="A140" s="34" t="s">
        <v>1267</v>
      </c>
      <c r="B140" s="34" t="s">
        <v>690</v>
      </c>
    </row>
    <row r="141" spans="1:2">
      <c r="A141" s="34" t="s">
        <v>565</v>
      </c>
      <c r="B141" s="34" t="s">
        <v>628</v>
      </c>
    </row>
    <row r="143" spans="1:2">
      <c r="B143" s="45" t="s">
        <v>847</v>
      </c>
    </row>
    <row r="144" spans="1:2">
      <c r="B144" s="34" t="s">
        <v>849</v>
      </c>
    </row>
    <row r="148" spans="2:2">
      <c r="B148" s="34"/>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2:D56"/>
  <sheetViews>
    <sheetView workbookViewId="0">
      <selection activeCell="G26" sqref="G26"/>
    </sheetView>
  </sheetViews>
  <sheetFormatPr defaultRowHeight="12.75"/>
  <cols>
    <col min="1" max="1" width="4.85546875" customWidth="1"/>
    <col min="2" max="2" width="29.140625" customWidth="1"/>
    <col min="3" max="3" width="7.42578125" customWidth="1"/>
    <col min="4" max="4" width="11.85546875" customWidth="1"/>
  </cols>
  <sheetData>
    <row r="2" spans="1:4">
      <c r="A2" s="45" t="s">
        <v>1593</v>
      </c>
    </row>
    <row r="3" spans="1:4">
      <c r="B3" s="27" t="s">
        <v>443</v>
      </c>
      <c r="C3" s="27" t="s">
        <v>1594</v>
      </c>
      <c r="D3" s="27" t="s">
        <v>1595</v>
      </c>
    </row>
    <row r="4" spans="1:4">
      <c r="B4" t="s">
        <v>223</v>
      </c>
      <c r="C4" t="s">
        <v>1104</v>
      </c>
      <c r="D4" s="27" t="s">
        <v>1596</v>
      </c>
    </row>
    <row r="5" spans="1:4">
      <c r="B5" s="27" t="s">
        <v>234</v>
      </c>
      <c r="C5" t="s">
        <v>1108</v>
      </c>
      <c r="D5" s="27" t="s">
        <v>1597</v>
      </c>
    </row>
    <row r="6" spans="1:4">
      <c r="B6" s="27" t="s">
        <v>240</v>
      </c>
      <c r="C6" t="s">
        <v>25</v>
      </c>
      <c r="D6" s="27" t="s">
        <v>1598</v>
      </c>
    </row>
    <row r="7" spans="1:4">
      <c r="B7" s="27" t="s">
        <v>221</v>
      </c>
      <c r="C7" t="s">
        <v>1102</v>
      </c>
      <c r="D7" s="27" t="s">
        <v>1599</v>
      </c>
    </row>
    <row r="8" spans="1:4">
      <c r="B8" t="s">
        <v>225</v>
      </c>
      <c r="C8" t="s">
        <v>1106</v>
      </c>
      <c r="D8" s="27" t="s">
        <v>1600</v>
      </c>
    </row>
    <row r="9" spans="1:4">
      <c r="B9" t="s">
        <v>250</v>
      </c>
      <c r="C9" t="s">
        <v>1114</v>
      </c>
      <c r="D9" s="27" t="s">
        <v>1016</v>
      </c>
    </row>
    <row r="10" spans="1:4">
      <c r="B10" t="s">
        <v>227</v>
      </c>
      <c r="C10" t="s">
        <v>1107</v>
      </c>
      <c r="D10" s="27" t="s">
        <v>1601</v>
      </c>
    </row>
    <row r="11" spans="1:4">
      <c r="B11" t="s">
        <v>242</v>
      </c>
      <c r="C11" t="s">
        <v>1113</v>
      </c>
      <c r="D11" s="27" t="s">
        <v>1602</v>
      </c>
    </row>
    <row r="12" spans="1:4">
      <c r="B12" t="s">
        <v>258</v>
      </c>
      <c r="C12" t="s">
        <v>1115</v>
      </c>
      <c r="D12" s="27" t="s">
        <v>1603</v>
      </c>
    </row>
    <row r="13" spans="1:4">
      <c r="B13" t="s">
        <v>263</v>
      </c>
      <c r="C13" t="s">
        <v>1116</v>
      </c>
      <c r="D13" s="27" t="s">
        <v>82</v>
      </c>
    </row>
    <row r="14" spans="1:4">
      <c r="B14" t="s">
        <v>306</v>
      </c>
      <c r="C14" s="27" t="s">
        <v>1604</v>
      </c>
      <c r="D14" s="27" t="s">
        <v>892</v>
      </c>
    </row>
    <row r="15" spans="1:4">
      <c r="B15" s="27" t="s">
        <v>231</v>
      </c>
      <c r="C15" s="27" t="s">
        <v>1110</v>
      </c>
      <c r="D15" s="27" t="s">
        <v>1605</v>
      </c>
    </row>
    <row r="16" spans="1:4">
      <c r="B16" s="27" t="s">
        <v>292</v>
      </c>
      <c r="C16" s="27" t="s">
        <v>1606</v>
      </c>
      <c r="D16" s="27" t="s">
        <v>1607</v>
      </c>
    </row>
    <row r="17" spans="1:4">
      <c r="B17" s="27" t="s">
        <v>236</v>
      </c>
      <c r="C17" s="27" t="s">
        <v>1109</v>
      </c>
      <c r="D17" s="27" t="s">
        <v>53</v>
      </c>
    </row>
    <row r="18" spans="1:4">
      <c r="B18" s="27" t="s">
        <v>266</v>
      </c>
      <c r="C18" s="27" t="s">
        <v>1608</v>
      </c>
      <c r="D18" s="27" t="s">
        <v>1609</v>
      </c>
    </row>
    <row r="20" spans="1:4">
      <c r="A20" s="45" t="s">
        <v>1610</v>
      </c>
    </row>
    <row r="21" spans="1:4">
      <c r="B21" t="s">
        <v>1611</v>
      </c>
      <c r="D21" s="27"/>
    </row>
    <row r="22" spans="1:4">
      <c r="B22" t="s">
        <v>1612</v>
      </c>
      <c r="D22" s="27"/>
    </row>
    <row r="23" spans="1:4">
      <c r="B23" t="s">
        <v>1613</v>
      </c>
      <c r="D23" s="27"/>
    </row>
    <row r="24" spans="1:4">
      <c r="B24" t="s">
        <v>1614</v>
      </c>
      <c r="D24" s="27"/>
    </row>
    <row r="25" spans="1:4">
      <c r="B25" t="s">
        <v>1615</v>
      </c>
      <c r="D25" s="27"/>
    </row>
    <row r="27" spans="1:4">
      <c r="A27" s="45" t="s">
        <v>1616</v>
      </c>
    </row>
    <row r="28" spans="1:4">
      <c r="B28" s="222" t="s">
        <v>1617</v>
      </c>
    </row>
    <row r="29" spans="1:4">
      <c r="B29" s="222" t="s">
        <v>1618</v>
      </c>
    </row>
    <row r="30" spans="1:4">
      <c r="B30" s="222" t="s">
        <v>56</v>
      </c>
    </row>
    <row r="31" spans="1:4">
      <c r="B31" s="222" t="s">
        <v>1619</v>
      </c>
    </row>
    <row r="32" spans="1:4">
      <c r="B32" s="222" t="s">
        <v>1620</v>
      </c>
    </row>
    <row r="33" spans="1:3">
      <c r="B33" s="222" t="s">
        <v>1621</v>
      </c>
    </row>
    <row r="34" spans="1:3">
      <c r="B34" s="222" t="s">
        <v>1622</v>
      </c>
    </row>
    <row r="35" spans="1:3">
      <c r="B35" s="222" t="s">
        <v>1623</v>
      </c>
    </row>
    <row r="36" spans="1:3">
      <c r="B36" s="222" t="s">
        <v>1624</v>
      </c>
    </row>
    <row r="37" spans="1:3">
      <c r="B37" s="222" t="s">
        <v>1625</v>
      </c>
    </row>
    <row r="38" spans="1:3">
      <c r="B38" s="222" t="s">
        <v>1626</v>
      </c>
    </row>
    <row r="39" spans="1:3">
      <c r="B39" s="222" t="s">
        <v>1627</v>
      </c>
    </row>
    <row r="40" spans="1:3">
      <c r="B40" s="222" t="s">
        <v>1628</v>
      </c>
    </row>
    <row r="41" spans="1:3">
      <c r="B41" s="222" t="s">
        <v>1629</v>
      </c>
    </row>
    <row r="42" spans="1:3">
      <c r="B42" s="222" t="s">
        <v>1630</v>
      </c>
    </row>
    <row r="44" spans="1:3">
      <c r="A44" s="45" t="s">
        <v>1631</v>
      </c>
    </row>
    <row r="45" spans="1:3">
      <c r="B45" t="s">
        <v>47</v>
      </c>
    </row>
    <row r="46" spans="1:3">
      <c r="B46" t="s">
        <v>47</v>
      </c>
      <c r="C46" t="s">
        <v>1632</v>
      </c>
    </row>
    <row r="47" spans="1:3">
      <c r="B47" t="s">
        <v>1633</v>
      </c>
      <c r="C47" t="s">
        <v>1634</v>
      </c>
    </row>
    <row r="48" spans="1:3">
      <c r="B48" t="s">
        <v>68</v>
      </c>
    </row>
    <row r="49" spans="1:3">
      <c r="B49" t="s">
        <v>1635</v>
      </c>
    </row>
    <row r="50" spans="1:3">
      <c r="B50" t="s">
        <v>1636</v>
      </c>
      <c r="C50" t="s">
        <v>1637</v>
      </c>
    </row>
    <row r="52" spans="1:3">
      <c r="A52" s="45" t="s">
        <v>1638</v>
      </c>
    </row>
    <row r="53" spans="1:3">
      <c r="B53" t="s">
        <v>47</v>
      </c>
      <c r="C53" t="s">
        <v>1639</v>
      </c>
    </row>
    <row r="54" spans="1:3">
      <c r="B54" t="s">
        <v>1640</v>
      </c>
      <c r="C54" t="s">
        <v>1641</v>
      </c>
    </row>
    <row r="55" spans="1:3">
      <c r="B55" t="s">
        <v>1642</v>
      </c>
      <c r="C55" t="s">
        <v>1643</v>
      </c>
    </row>
    <row r="56" spans="1:3">
      <c r="B56" t="s">
        <v>1644</v>
      </c>
      <c r="C56" t="s">
        <v>1645</v>
      </c>
    </row>
  </sheetData>
  <sheetProtection password="A9BB" sheet="1" objects="1" scenarios="1"/>
  <sortState xmlns:xlrd2="http://schemas.microsoft.com/office/spreadsheetml/2017/richdata2" ref="A6:C22">
    <sortCondition ref="B6:B22"/>
  </sortState>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J143"/>
  <sheetViews>
    <sheetView tabSelected="1" zoomScale="75" zoomScaleNormal="75" workbookViewId="0">
      <pane xSplit="1" ySplit="3" topLeftCell="B4" activePane="bottomRight" state="frozen"/>
      <selection pane="bottomRight" activeCell="D6" sqref="D6"/>
      <selection pane="bottomLeft" activeCell="A4" sqref="A4"/>
      <selection pane="topRight" activeCell="B1" sqref="B1"/>
    </sheetView>
  </sheetViews>
  <sheetFormatPr defaultRowHeight="12.75"/>
  <cols>
    <col min="1" max="1" width="50.85546875" customWidth="1"/>
    <col min="2" max="2" width="12.140625" style="4" customWidth="1"/>
    <col min="3" max="6" width="11" style="4" customWidth="1"/>
    <col min="7" max="7" width="8.85546875" style="13" hidden="1" customWidth="1"/>
    <col min="8" max="8" width="11.85546875" style="167" customWidth="1"/>
    <col min="9" max="9" width="9.5703125" style="4" customWidth="1"/>
    <col min="10" max="10" width="9.5703125" style="4" hidden="1" customWidth="1"/>
    <col min="11" max="13" width="9.5703125" style="4" customWidth="1"/>
    <col min="14" max="14" width="11.140625" style="8" hidden="1" customWidth="1"/>
    <col min="15" max="17" width="9.7109375" style="171" hidden="1" customWidth="1"/>
    <col min="18" max="20" width="9.7109375" style="13" customWidth="1"/>
    <col min="21" max="21" width="11.140625" style="4" customWidth="1"/>
    <col min="22" max="22" width="11.140625" style="4" hidden="1" customWidth="1"/>
    <col min="23" max="23" width="11.140625" style="8" hidden="1" customWidth="1"/>
    <col min="24" max="24" width="11.140625" style="13" customWidth="1"/>
    <col min="25" max="26" width="11.140625" style="4" customWidth="1"/>
    <col min="27" max="27" width="18.85546875" style="11" hidden="1" customWidth="1"/>
    <col min="28" max="28" width="24.140625" style="176" customWidth="1"/>
    <col min="29" max="29" width="0.140625" style="176" customWidth="1"/>
    <col min="30" max="30" width="10.7109375" style="194" hidden="1" customWidth="1"/>
    <col min="31" max="31" width="96.42578125" style="176" hidden="1" customWidth="1"/>
  </cols>
  <sheetData>
    <row r="1" spans="1:36" ht="25.5">
      <c r="B1" s="262" t="s">
        <v>196</v>
      </c>
      <c r="C1" s="263"/>
      <c r="D1" s="263"/>
      <c r="E1" s="263"/>
      <c r="F1" s="263"/>
      <c r="G1" s="164"/>
      <c r="H1" s="254" t="s">
        <v>197</v>
      </c>
      <c r="I1" s="262" t="s">
        <v>198</v>
      </c>
      <c r="J1" s="262"/>
      <c r="K1" s="263"/>
      <c r="L1" s="263"/>
      <c r="M1" s="263"/>
      <c r="N1" s="252" t="s">
        <v>199</v>
      </c>
      <c r="O1" s="252"/>
      <c r="P1" s="252"/>
      <c r="Q1" s="252"/>
      <c r="R1" s="254" t="s">
        <v>199</v>
      </c>
      <c r="S1" s="257"/>
      <c r="T1" s="257"/>
      <c r="U1" s="260" t="s">
        <v>200</v>
      </c>
      <c r="V1" s="260" t="s">
        <v>200</v>
      </c>
      <c r="W1" s="156"/>
      <c r="X1" s="174" t="s">
        <v>201</v>
      </c>
      <c r="Y1" s="253" t="s">
        <v>202</v>
      </c>
      <c r="Z1" s="253"/>
      <c r="AA1" s="239" t="s">
        <v>203</v>
      </c>
      <c r="AB1" s="239" t="s">
        <v>204</v>
      </c>
      <c r="AC1"/>
      <c r="AD1"/>
      <c r="AE1" s="206"/>
    </row>
    <row r="2" spans="1:36" s="1" customFormat="1" ht="25.5" customHeight="1">
      <c r="B2" s="250" t="s">
        <v>7</v>
      </c>
      <c r="C2" s="255"/>
      <c r="D2" s="255"/>
      <c r="E2" s="255"/>
      <c r="F2" s="255"/>
      <c r="G2" s="58"/>
      <c r="H2" s="255"/>
      <c r="I2" s="250" t="s">
        <v>9</v>
      </c>
      <c r="J2" s="250"/>
      <c r="K2" s="264"/>
      <c r="L2" s="264"/>
      <c r="M2" s="264"/>
      <c r="N2" s="173" t="s">
        <v>11</v>
      </c>
      <c r="O2" s="258" t="s">
        <v>205</v>
      </c>
      <c r="P2" s="259"/>
      <c r="Q2" s="259"/>
      <c r="R2" s="256" t="s">
        <v>206</v>
      </c>
      <c r="S2" s="255"/>
      <c r="T2" s="255"/>
      <c r="U2" s="261"/>
      <c r="V2" s="261"/>
      <c r="W2" s="157" t="s">
        <v>207</v>
      </c>
      <c r="X2" s="170"/>
      <c r="Y2" s="250" t="s">
        <v>15</v>
      </c>
      <c r="Z2" s="250" t="s">
        <v>16</v>
      </c>
      <c r="AA2" s="9"/>
      <c r="AB2" s="175"/>
      <c r="AC2" s="175"/>
      <c r="AD2" s="209"/>
      <c r="AE2" s="175"/>
    </row>
    <row r="3" spans="1:36" s="1" customFormat="1" ht="66" customHeight="1">
      <c r="B3" s="3" t="s">
        <v>17</v>
      </c>
      <c r="C3" s="3" t="s">
        <v>18</v>
      </c>
      <c r="D3" s="3" t="s">
        <v>19</v>
      </c>
      <c r="E3" s="3" t="s">
        <v>20</v>
      </c>
      <c r="F3" s="158" t="s">
        <v>208</v>
      </c>
      <c r="G3" s="12" t="s">
        <v>21</v>
      </c>
      <c r="H3" s="168" t="s">
        <v>209</v>
      </c>
      <c r="I3" s="158" t="s">
        <v>210</v>
      </c>
      <c r="J3" s="230" t="s">
        <v>211</v>
      </c>
      <c r="K3" s="3" t="s">
        <v>23</v>
      </c>
      <c r="L3" s="3" t="s">
        <v>24</v>
      </c>
      <c r="M3" s="3" t="s">
        <v>25</v>
      </c>
      <c r="N3" s="5" t="s">
        <v>26</v>
      </c>
      <c r="O3" s="233" t="s">
        <v>212</v>
      </c>
      <c r="P3" s="233" t="s">
        <v>213</v>
      </c>
      <c r="Q3" s="234" t="s">
        <v>214</v>
      </c>
      <c r="R3" s="12" t="s">
        <v>212</v>
      </c>
      <c r="S3" s="159" t="s">
        <v>213</v>
      </c>
      <c r="T3" s="159" t="s">
        <v>214</v>
      </c>
      <c r="U3" s="158" t="s">
        <v>215</v>
      </c>
      <c r="V3" s="230" t="s">
        <v>216</v>
      </c>
      <c r="W3" s="158" t="s">
        <v>13</v>
      </c>
      <c r="X3" s="159" t="s">
        <v>13</v>
      </c>
      <c r="Y3" s="251"/>
      <c r="Z3" s="251"/>
      <c r="AA3" s="132" t="s">
        <v>30</v>
      </c>
      <c r="AB3" s="188" t="s">
        <v>217</v>
      </c>
      <c r="AC3" s="175"/>
      <c r="AD3" s="193" t="s">
        <v>218</v>
      </c>
      <c r="AE3" s="211" t="s">
        <v>219</v>
      </c>
    </row>
    <row r="4" spans="1:36" s="16" customFormat="1">
      <c r="A4" s="17" t="s">
        <v>32</v>
      </c>
      <c r="B4" s="14"/>
      <c r="C4" s="14"/>
      <c r="D4" s="14"/>
      <c r="E4" s="14"/>
      <c r="F4" s="14"/>
      <c r="G4" s="14"/>
      <c r="H4" s="165"/>
      <c r="I4" s="14"/>
      <c r="J4" s="14"/>
      <c r="K4" s="14"/>
      <c r="L4" s="14"/>
      <c r="M4" s="14"/>
      <c r="N4" s="15"/>
      <c r="O4" s="15"/>
      <c r="P4" s="15"/>
      <c r="Q4" s="15"/>
      <c r="R4" s="14"/>
      <c r="S4" s="14"/>
      <c r="T4" s="14"/>
      <c r="U4" s="14"/>
      <c r="V4" s="14"/>
      <c r="W4" s="15"/>
      <c r="X4" s="14"/>
      <c r="Y4" s="14"/>
      <c r="Z4" s="14"/>
      <c r="AD4" s="189"/>
    </row>
    <row r="5" spans="1:36">
      <c r="A5" t="s">
        <v>220</v>
      </c>
      <c r="B5" s="26">
        <f>VLOOKUP(Mapping!$E5,_90_1_2001,2,FALSE)</f>
        <v>1.5</v>
      </c>
      <c r="C5" s="26">
        <f>VLOOKUP(Mapping!$D5,_90_1_2007,2,FALSE)</f>
        <v>0.9</v>
      </c>
      <c r="D5" s="26">
        <f>VLOOKUP(Mapping!$C5,_90_1_2010,2,FALSE)</f>
        <v>0.82</v>
      </c>
      <c r="E5" s="26" t="str">
        <f>VLOOKUP(Mapping!$C5,_90_1_2010,3,FALSE)</f>
        <v>n.a.</v>
      </c>
      <c r="F5" s="26">
        <f>VLOOKUP(Mapping!$B5,_90_1_2016BM,2,FALSE)</f>
        <v>0.9</v>
      </c>
      <c r="G5" s="134">
        <f>VLOOKUP(Mapping!$J5,_ACM05,5,FALSE)</f>
        <v>1</v>
      </c>
      <c r="H5" s="169" t="str">
        <f>VLOOKUP(Mapping!$B5,_90_1_2016BM,3,FALSE)</f>
        <v>n.a.</v>
      </c>
      <c r="I5" s="26">
        <f>VLOOKUP(Mapping!$G5,_Plugs,13,FALSE)</f>
        <v>0.50325197968776458</v>
      </c>
      <c r="J5" s="231">
        <f>VLOOKUP(Mapping!$F5,_SSPC_90.1,3,FALSE)</f>
        <v>1</v>
      </c>
      <c r="K5" s="26">
        <f>VLOOKUP(Mapping!$G5,_Plugs,14,FALSE)</f>
        <v>2</v>
      </c>
      <c r="L5" s="26">
        <f>VLOOKUP(Mapping!$G5,_Plugs,15,FALSE)</f>
        <v>0.54832713754646845</v>
      </c>
      <c r="M5" s="26">
        <f>VLOOKUP(Mapping!$G5,_Plugs,16,FALSE)</f>
        <v>1</v>
      </c>
      <c r="N5" s="135">
        <f>1000/VLOOKUP(Mapping!$J5,_ACM05,2,FALSE)</f>
        <v>100</v>
      </c>
      <c r="O5" s="235">
        <f>VLOOKUP(Mapping!$I5,_ECB_CS,2,FALSE)</f>
        <v>200</v>
      </c>
      <c r="P5" s="235">
        <f>VLOOKUP(Mapping!$J5,_ACM05,3,FALSE)</f>
        <v>275</v>
      </c>
      <c r="Q5" s="235">
        <f>VLOOKUP(Mapping!$J5,_ACM05,4,FALSE)</f>
        <v>475</v>
      </c>
      <c r="R5" s="172">
        <f>VLOOKUP(Mapping!$F5,_SSPC_90.1,5,FALSE)</f>
        <v>143</v>
      </c>
      <c r="S5" s="172">
        <f>VLOOKUP(Mapping!$F5,_SSPC_90.1,6,FALSE)</f>
        <v>375</v>
      </c>
      <c r="T5" s="172">
        <f>VLOOKUP(Mapping!$F5,_SSPC_90.1,7,FALSE)</f>
        <v>625</v>
      </c>
      <c r="U5" s="26">
        <f>VLOOKUP(Mapping!$F5,_SSPC_90.1,4,FALSE)</f>
        <v>0.25</v>
      </c>
      <c r="V5" s="231">
        <f>VLOOKUP(Mapping!$I5,_ECB_CS,5,FALSE)</f>
        <v>1.5</v>
      </c>
      <c r="W5" s="135">
        <f>VLOOKUP(Mapping!$J5,_ACM05,6,FALSE)</f>
        <v>120</v>
      </c>
      <c r="X5" s="172">
        <f>VLOOKUP(Mapping!$I5,_ECB_CS,4,FALSE)</f>
        <v>300</v>
      </c>
      <c r="Y5" s="26">
        <f>VLOOKUP(Mapping!$H5,_CEUS,2,FALSE)</f>
        <v>0.75342465753424659</v>
      </c>
      <c r="Z5" s="26">
        <f>VLOOKUP(Mapping!$H5,_CEUS,3,FALSE)</f>
        <v>9.8173515981735154E-2</v>
      </c>
      <c r="AA5" s="11" t="s">
        <v>35</v>
      </c>
      <c r="AB5" s="176" t="s">
        <v>221</v>
      </c>
      <c r="AD5" s="194" t="str">
        <f t="shared" ref="AD5:AD37" si="0">VLOOKUP(AB5,SchedulesLookup,2,FALSE)</f>
        <v>J</v>
      </c>
      <c r="AE5" s="176" t="str">
        <f t="shared" ref="AE5:AE37" si="1">VLOOKUP(AB5,SchedulesLookup,3,FALSE)</f>
        <v>Automotive facility, workshop, manufacturing facility</v>
      </c>
    </row>
    <row r="6" spans="1:36">
      <c r="A6" t="s">
        <v>222</v>
      </c>
      <c r="B6" s="26">
        <f>VLOOKUP(Mapping!$E6,_90_1_2001,2,FALSE)</f>
        <v>1.4</v>
      </c>
      <c r="C6" s="26">
        <f>VLOOKUP(Mapping!$D6,_90_1_2007,2,FALSE)</f>
        <v>1.2</v>
      </c>
      <c r="D6" s="26">
        <f>VLOOKUP(Mapping!$C6,_90_1_2010,2,FALSE)</f>
        <v>1.08</v>
      </c>
      <c r="E6" s="26" t="str">
        <f>VLOOKUP(Mapping!$C6,_90_1_2010,3,FALSE)</f>
        <v>n.a.</v>
      </c>
      <c r="F6" s="26">
        <f>VLOOKUP(Mapping!$B6,_90_1_2016BM,2,FALSE)</f>
        <v>1.2</v>
      </c>
      <c r="G6" s="134">
        <f>VLOOKUP(Mapping!$J6,_ACM05,5,FALSE)</f>
        <v>0.96</v>
      </c>
      <c r="H6" s="169" t="str">
        <f>VLOOKUP(Mapping!$B6,_90_1_2016BM,3,FALSE)</f>
        <v>n.a.</v>
      </c>
      <c r="I6" s="26">
        <f>VLOOKUP(Mapping!G6,_Plugs,13,FALSE)</f>
        <v>0.74760799257268662</v>
      </c>
      <c r="J6" s="231">
        <f>VLOOKUP(Mapping!$F6,_SSPC_90.1,3,FALSE)</f>
        <v>0.25</v>
      </c>
      <c r="K6" s="26">
        <f>VLOOKUP(Mapping!$G6,_Plugs,14,FALSE)</f>
        <v>2</v>
      </c>
      <c r="L6" s="26">
        <f>VLOOKUP(Mapping!$G6,_Plugs,15,FALSE)</f>
        <v>0.54832713754646845</v>
      </c>
      <c r="M6" s="26">
        <f>VLOOKUP(Mapping!$G6,_Plugs,16,FALSE)</f>
        <v>1</v>
      </c>
      <c r="N6" s="135">
        <f>1000/VLOOKUP(Mapping!$J6,_ACM05,2,FALSE)</f>
        <v>7.3529411764705879</v>
      </c>
      <c r="O6" s="235">
        <f>VLOOKUP(Mapping!$I6,_ECB_CS,2,FALSE)</f>
        <v>50</v>
      </c>
      <c r="P6" s="235">
        <f>VLOOKUP(Mapping!$J6,_ACM05,3,FALSE)</f>
        <v>245</v>
      </c>
      <c r="Q6" s="235">
        <f>VLOOKUP(Mapping!$J6,_ACM05,4,FALSE)</f>
        <v>112</v>
      </c>
      <c r="R6" s="172">
        <f>VLOOKUP(Mapping!$F6,_SSPC_90.1,5,FALSE)</f>
        <v>20</v>
      </c>
      <c r="S6" s="172">
        <f>VLOOKUP(Mapping!$F6,_SSPC_90.1,6,FALSE)</f>
        <v>250</v>
      </c>
      <c r="T6" s="172">
        <f>VLOOKUP(Mapping!$F6,_SSPC_90.1,7,FALSE)</f>
        <v>200</v>
      </c>
      <c r="U6" s="26">
        <f>VLOOKUP(Mapping!$F6,_SSPC_90.1,4,FALSE)</f>
        <v>0.31</v>
      </c>
      <c r="V6" s="231">
        <f>VLOOKUP(Mapping!$I6,_ECB_CS,5,FALSE)</f>
        <v>0.3</v>
      </c>
      <c r="W6" s="135">
        <f>VLOOKUP(Mapping!$J6,_ACM05,6,FALSE)</f>
        <v>57</v>
      </c>
      <c r="X6" s="172">
        <f>VLOOKUP(Mapping!$I6,_ECB_CS,4,FALSE)</f>
        <v>215</v>
      </c>
      <c r="Y6" s="26">
        <f>VLOOKUP(Mapping!$H6,_CEUS,2,FALSE)</f>
        <v>2.2831050228310501E-2</v>
      </c>
      <c r="Z6" s="26">
        <f>VLOOKUP(Mapping!$H6,_CEUS,3,FALSE)</f>
        <v>6.6210045662100453E-2</v>
      </c>
      <c r="AA6" s="11" t="s">
        <v>35</v>
      </c>
      <c r="AB6" s="176" t="s">
        <v>223</v>
      </c>
      <c r="AD6" s="194" t="str">
        <f t="shared" si="0"/>
        <v>H</v>
      </c>
      <c r="AE6" s="176" t="str">
        <f t="shared" si="1"/>
        <v>Convention center, exercise center, motion picture theature, performing arts theater, religious building, sports arena</v>
      </c>
    </row>
    <row r="7" spans="1:36">
      <c r="A7" t="s">
        <v>224</v>
      </c>
      <c r="B7" s="26">
        <f>VLOOKUP(Mapping!$E7,_90_1_2001,2,FALSE)</f>
        <v>1.4</v>
      </c>
      <c r="C7" s="26">
        <f>VLOOKUP(Mapping!$D7,_90_1_2007,2,FALSE)</f>
        <v>1.2</v>
      </c>
      <c r="D7" s="26">
        <f>VLOOKUP(Mapping!$C7,_90_1_2010,2,FALSE)</f>
        <v>1.05</v>
      </c>
      <c r="E7" s="26" t="str">
        <f>VLOOKUP(Mapping!$C7,_90_1_2010,3,FALSE)</f>
        <v>n.a.</v>
      </c>
      <c r="F7" s="26">
        <f>VLOOKUP(Mapping!$B7,_90_1_2016BM,2,FALSE)</f>
        <v>1.2</v>
      </c>
      <c r="G7" s="134">
        <f>VLOOKUP(Mapping!$J7,_ACM05,5,FALSE)</f>
        <v>0.96</v>
      </c>
      <c r="H7" s="169" t="str">
        <f>VLOOKUP(Mapping!$B7,_90_1_2016BM,3,FALSE)</f>
        <v>n.a.</v>
      </c>
      <c r="I7" s="26">
        <f>VLOOKUP(Mapping!G7,_Plugs,13,FALSE)</f>
        <v>1.6689815831571153</v>
      </c>
      <c r="J7" s="231">
        <f>VLOOKUP(Mapping!$F7,_SSPC_90.1,3,FALSE)</f>
        <v>0.25</v>
      </c>
      <c r="K7" s="26">
        <f>VLOOKUP(Mapping!$G7,_Plugs,14,FALSE)</f>
        <v>2</v>
      </c>
      <c r="L7" s="26">
        <f>VLOOKUP(Mapping!$G7,_Plugs,15,FALSE)</f>
        <v>0.77137546468401497</v>
      </c>
      <c r="M7" s="26">
        <f>VLOOKUP(Mapping!$G7,_Plugs,16,FALSE)</f>
        <v>1</v>
      </c>
      <c r="N7" s="135">
        <f>1000/VLOOKUP(Mapping!$J7,_ACM05,2,FALSE)</f>
        <v>7.3529411764705879</v>
      </c>
      <c r="O7" s="235">
        <f>VLOOKUP(Mapping!$I7,_ECB_CS,2,FALSE)</f>
        <v>200</v>
      </c>
      <c r="P7" s="235">
        <f>VLOOKUP(Mapping!$J7,_ACM05,3,FALSE)</f>
        <v>245</v>
      </c>
      <c r="Q7" s="235">
        <f>VLOOKUP(Mapping!$J7,_ACM05,4,FALSE)</f>
        <v>112</v>
      </c>
      <c r="R7" s="172">
        <f>VLOOKUP(Mapping!$F7,_SSPC_90.1,5,FALSE)</f>
        <v>14</v>
      </c>
      <c r="S7" s="172">
        <f>VLOOKUP(Mapping!$F7,_SSPC_90.1,6,FALSE)</f>
        <v>250</v>
      </c>
      <c r="T7" s="172">
        <f>VLOOKUP(Mapping!$F7,_SSPC_90.1,7,FALSE)</f>
        <v>200</v>
      </c>
      <c r="U7" s="26">
        <f>VLOOKUP(Mapping!$F7,_SSPC_90.1,4,FALSE)</f>
        <v>0.41</v>
      </c>
      <c r="V7" s="231">
        <f>VLOOKUP(Mapping!$I7,_ECB_CS,5,FALSE)</f>
        <v>0.4</v>
      </c>
      <c r="W7" s="135">
        <f>VLOOKUP(Mapping!$J7,_ACM05,6,FALSE)</f>
        <v>57</v>
      </c>
      <c r="X7" s="172">
        <f>VLOOKUP(Mapping!$I7,_ECB_CS,4,FALSE)</f>
        <v>135</v>
      </c>
      <c r="Y7" s="26">
        <f>VLOOKUP(Mapping!$H7,_CEUS,2,FALSE)</f>
        <v>0.17123287671232876</v>
      </c>
      <c r="Z7" s="26">
        <f>VLOOKUP(Mapping!$H7,_CEUS,3,FALSE)</f>
        <v>4.6803652968036527E-2</v>
      </c>
      <c r="AA7" s="11" t="s">
        <v>35</v>
      </c>
      <c r="AB7" s="176" t="s">
        <v>225</v>
      </c>
      <c r="AD7" s="194" t="str">
        <f t="shared" si="0"/>
        <v>A</v>
      </c>
      <c r="AE7" s="176" t="str">
        <f t="shared" si="1"/>
        <v>courthouse, office, post office, town hall</v>
      </c>
    </row>
    <row r="8" spans="1:36">
      <c r="A8" t="s">
        <v>226</v>
      </c>
      <c r="B8" s="26">
        <f>VLOOKUP(Mapping!$E8,_90_1_2001,2,FALSE)</f>
        <v>1.5</v>
      </c>
      <c r="C8" s="26">
        <f>VLOOKUP(Mapping!$D8,_90_1_2007,2,FALSE)</f>
        <v>1.3</v>
      </c>
      <c r="D8" s="26">
        <f>VLOOKUP(Mapping!$C8,_90_1_2010,2,FALSE)</f>
        <v>0.99</v>
      </c>
      <c r="E8" s="26" t="str">
        <f>VLOOKUP(Mapping!$C8,_90_1_2010,3,FALSE)</f>
        <v>n.a.</v>
      </c>
      <c r="F8" s="26">
        <f>VLOOKUP(Mapping!$B8,_90_1_2016BM,2,FALSE)</f>
        <v>1.3</v>
      </c>
      <c r="G8" s="134">
        <f>VLOOKUP(Mapping!$J8,_ACM05,5,FALSE)</f>
        <v>0.79</v>
      </c>
      <c r="H8" s="169" t="str">
        <f>VLOOKUP(Mapping!$B8,_90_1_2016BM,3,FALSE)</f>
        <v>n.a.</v>
      </c>
      <c r="I8" s="26">
        <f>VLOOKUP(Mapping!G8,_Plugs,13,FALSE)</f>
        <v>1.3160573887824656</v>
      </c>
      <c r="J8" s="231">
        <f>VLOOKUP(Mapping!$F8,_SSPC_90.1,3,FALSE)</f>
        <v>6</v>
      </c>
      <c r="K8" s="26">
        <f>VLOOKUP(Mapping!$G8,_Plugs,14,FALSE)</f>
        <v>2</v>
      </c>
      <c r="L8" s="26">
        <f>VLOOKUP(Mapping!$G8,_Plugs,15,FALSE)</f>
        <v>0.92936802973977695</v>
      </c>
      <c r="M8" s="26">
        <f>VLOOKUP(Mapping!$G8,_Plugs,16,FALSE)</f>
        <v>1</v>
      </c>
      <c r="N8" s="135">
        <f>1000/VLOOKUP(Mapping!$J8,_ACM05,2,FALSE)</f>
        <v>22.222222222222221</v>
      </c>
      <c r="O8" s="235">
        <f>VLOOKUP(Mapping!$I8,_ECB_CS,2,FALSE)</f>
        <v>100</v>
      </c>
      <c r="P8" s="235">
        <f>VLOOKUP(Mapping!$J8,_ACM05,3,FALSE)</f>
        <v>274</v>
      </c>
      <c r="Q8" s="235">
        <f>VLOOKUP(Mapping!$J8,_ACM05,4,FALSE)</f>
        <v>334</v>
      </c>
      <c r="R8" s="172">
        <f>VLOOKUP(Mapping!$F8,_SSPC_90.1,5,FALSE)</f>
        <v>10</v>
      </c>
      <c r="S8" s="172">
        <f>VLOOKUP(Mapping!$F8,_SSPC_90.1,6,FALSE)</f>
        <v>275</v>
      </c>
      <c r="T8" s="172">
        <f>VLOOKUP(Mapping!$F8,_SSPC_90.1,7,FALSE)</f>
        <v>275</v>
      </c>
      <c r="U8" s="26">
        <f>VLOOKUP(Mapping!$F8,_SSPC_90.1,4,FALSE)</f>
        <v>0.93</v>
      </c>
      <c r="V8" s="231">
        <f>VLOOKUP(Mapping!$I8,_ECB_CS,5,FALSE)</f>
        <v>0.25</v>
      </c>
      <c r="W8" s="135">
        <f>VLOOKUP(Mapping!$J8,_ACM05,6,FALSE)</f>
        <v>366</v>
      </c>
      <c r="X8" s="172">
        <f>VLOOKUP(Mapping!$I8,_ECB_CS,4,FALSE)</f>
        <v>390</v>
      </c>
      <c r="Y8" s="26">
        <f>VLOOKUP(Mapping!$H8,_CEUS,2,FALSE)</f>
        <v>17.534246575342468</v>
      </c>
      <c r="Z8" s="26">
        <f>VLOOKUP(Mapping!$H8,_CEUS,3,FALSE)</f>
        <v>1.1267123287671232</v>
      </c>
      <c r="AA8" s="11" t="s">
        <v>35</v>
      </c>
      <c r="AB8" s="176" t="s">
        <v>227</v>
      </c>
      <c r="AD8" s="194" t="str">
        <f t="shared" si="0"/>
        <v>B</v>
      </c>
      <c r="AE8" s="176" t="str">
        <f t="shared" si="1"/>
        <v>Cafeteria, fast food, family dining, bar, lounge</v>
      </c>
    </row>
    <row r="9" spans="1:36">
      <c r="A9" t="s">
        <v>228</v>
      </c>
      <c r="B9" s="26">
        <f>VLOOKUP(Mapping!$E9,_90_1_2001,2,FALSE)</f>
        <v>1.8</v>
      </c>
      <c r="C9" s="26">
        <f>VLOOKUP(Mapping!$D9,_90_1_2007,2,FALSE)</f>
        <v>1.4</v>
      </c>
      <c r="D9" s="26">
        <f>VLOOKUP(Mapping!$C9,_90_1_2010,2,FALSE)</f>
        <v>0.9</v>
      </c>
      <c r="E9" s="26" t="str">
        <f>VLOOKUP(Mapping!$C9,_90_1_2010,3,FALSE)</f>
        <v>n.a.</v>
      </c>
      <c r="F9" s="26">
        <f>VLOOKUP(Mapping!$B9,_90_1_2016BM,2,FALSE)</f>
        <v>1.4</v>
      </c>
      <c r="G9" s="134">
        <f>VLOOKUP(Mapping!$J9,_ACM05,5,FALSE)</f>
        <v>0.79</v>
      </c>
      <c r="H9" s="169" t="str">
        <f>VLOOKUP(Mapping!$B9,_90_1_2016BM,3,FALSE)</f>
        <v>n.a.</v>
      </c>
      <c r="I9" s="26">
        <f>VLOOKUP(Mapping!G9,_Plugs,13,FALSE)</f>
        <v>1.3683549857758452</v>
      </c>
      <c r="J9" s="231">
        <f>VLOOKUP(Mapping!$F9,_SSPC_90.1,3,FALSE)</f>
        <v>6</v>
      </c>
      <c r="K9" s="26">
        <f>VLOOKUP(Mapping!$G9,_Plugs,14,FALSE)</f>
        <v>2</v>
      </c>
      <c r="L9" s="26">
        <f>VLOOKUP(Mapping!$G9,_Plugs,15,FALSE)</f>
        <v>0.92936802973977695</v>
      </c>
      <c r="M9" s="26">
        <f>VLOOKUP(Mapping!$G9,_Plugs,16,FALSE)</f>
        <v>1</v>
      </c>
      <c r="N9" s="135">
        <f>1000/VLOOKUP(Mapping!$J9,_ACM05,2,FALSE)</f>
        <v>22.222222222222221</v>
      </c>
      <c r="O9" s="235">
        <f>VLOOKUP(Mapping!$I9,_ECB_CS,2,FALSE)</f>
        <v>100</v>
      </c>
      <c r="P9" s="235">
        <f>VLOOKUP(Mapping!$J9,_ACM05,3,FALSE)</f>
        <v>274</v>
      </c>
      <c r="Q9" s="235">
        <f>VLOOKUP(Mapping!$J9,_ACM05,4,FALSE)</f>
        <v>334</v>
      </c>
      <c r="R9" s="172">
        <f>VLOOKUP(Mapping!$F9,_SSPC_90.1,5,FALSE)</f>
        <v>10</v>
      </c>
      <c r="S9" s="172">
        <f>VLOOKUP(Mapping!$F9,_SSPC_90.1,6,FALSE)</f>
        <v>275</v>
      </c>
      <c r="T9" s="172">
        <f>VLOOKUP(Mapping!$F9,_SSPC_90.1,7,FALSE)</f>
        <v>275</v>
      </c>
      <c r="U9" s="26">
        <f>VLOOKUP(Mapping!$F9,_SSPC_90.1,4,FALSE)</f>
        <v>0.93</v>
      </c>
      <c r="V9" s="231">
        <f>VLOOKUP(Mapping!$I9,_ECB_CS,5,FALSE)</f>
        <v>0.25</v>
      </c>
      <c r="W9" s="135">
        <f>VLOOKUP(Mapping!$J9,_ACM05,6,FALSE)</f>
        <v>366</v>
      </c>
      <c r="X9" s="172">
        <f>VLOOKUP(Mapping!$I9,_ECB_CS,4,FALSE)</f>
        <v>390</v>
      </c>
      <c r="Y9" s="26">
        <f>VLOOKUP(Mapping!$H9,_CEUS,2,FALSE)</f>
        <v>17.534246575342468</v>
      </c>
      <c r="Z9" s="26">
        <f>VLOOKUP(Mapping!$H9,_CEUS,3,FALSE)</f>
        <v>1.1267123287671232</v>
      </c>
      <c r="AA9" s="11" t="s">
        <v>35</v>
      </c>
      <c r="AB9" s="176" t="s">
        <v>227</v>
      </c>
      <c r="AD9" s="194" t="str">
        <f t="shared" si="0"/>
        <v>B</v>
      </c>
      <c r="AE9" s="176" t="str">
        <f t="shared" si="1"/>
        <v>Cafeteria, fast food, family dining, bar, lounge</v>
      </c>
    </row>
    <row r="10" spans="1:36">
      <c r="A10" t="s">
        <v>229</v>
      </c>
      <c r="B10" s="26">
        <f>VLOOKUP(Mapping!$E10,_90_1_2001,2,FALSE)</f>
        <v>1.9</v>
      </c>
      <c r="C10" s="26">
        <f>VLOOKUP(Mapping!$D10,_90_1_2007,2,FALSE)</f>
        <v>1.6</v>
      </c>
      <c r="D10" s="26">
        <f>VLOOKUP(Mapping!$C10,_90_1_2010,2,FALSE)</f>
        <v>0.89</v>
      </c>
      <c r="E10" s="26" t="str">
        <f>VLOOKUP(Mapping!$C10,_90_1_2010,3,FALSE)</f>
        <v>n.a.</v>
      </c>
      <c r="F10" s="26">
        <f>VLOOKUP(Mapping!$B10,_90_1_2016BM,2,FALSE)</f>
        <v>1.6</v>
      </c>
      <c r="G10" s="134">
        <f>VLOOKUP(Mapping!$J10,_ACM05,5,FALSE)</f>
        <v>0.79</v>
      </c>
      <c r="H10" s="169" t="str">
        <f>VLOOKUP(Mapping!$B10,_90_1_2016BM,3,FALSE)</f>
        <v>n.a.</v>
      </c>
      <c r="I10" s="26">
        <f>VLOOKUP(Mapping!G10,_Plugs,13,FALSE)</f>
        <v>1.2629966462352749</v>
      </c>
      <c r="J10" s="231">
        <f>VLOOKUP(Mapping!$F10,_SSPC_90.1,3,FALSE)</f>
        <v>6</v>
      </c>
      <c r="K10" s="26">
        <f>VLOOKUP(Mapping!$G10,_Plugs,14,FALSE)</f>
        <v>2</v>
      </c>
      <c r="L10" s="26">
        <f>VLOOKUP(Mapping!$G10,_Plugs,15,FALSE)</f>
        <v>0.92936802973977695</v>
      </c>
      <c r="M10" s="26">
        <f>VLOOKUP(Mapping!$G10,_Plugs,16,FALSE)</f>
        <v>1</v>
      </c>
      <c r="N10" s="135">
        <f>1000/VLOOKUP(Mapping!$J10,_ACM05,2,FALSE)</f>
        <v>22.222222222222221</v>
      </c>
      <c r="O10" s="235">
        <f>VLOOKUP(Mapping!$I10,_ECB_CS,2,FALSE)</f>
        <v>100</v>
      </c>
      <c r="P10" s="235">
        <f>VLOOKUP(Mapping!$J10,_ACM05,3,FALSE)</f>
        <v>274</v>
      </c>
      <c r="Q10" s="235">
        <f>VLOOKUP(Mapping!$J10,_ACM05,4,FALSE)</f>
        <v>334</v>
      </c>
      <c r="R10" s="172">
        <f>VLOOKUP(Mapping!$F10,_SSPC_90.1,5,FALSE)</f>
        <v>14</v>
      </c>
      <c r="S10" s="172">
        <f>VLOOKUP(Mapping!$F10,_SSPC_90.1,6,FALSE)</f>
        <v>275</v>
      </c>
      <c r="T10" s="172">
        <f>VLOOKUP(Mapping!$F10,_SSPC_90.1,7,FALSE)</f>
        <v>275</v>
      </c>
      <c r="U10" s="26">
        <f>VLOOKUP(Mapping!$F10,_SSPC_90.1,4,FALSE)</f>
        <v>0.71</v>
      </c>
      <c r="V10" s="231">
        <f>VLOOKUP(Mapping!$I10,_ECB_CS,5,FALSE)</f>
        <v>0.25</v>
      </c>
      <c r="W10" s="135">
        <f>VLOOKUP(Mapping!$J10,_ACM05,6,FALSE)</f>
        <v>366</v>
      </c>
      <c r="X10" s="172">
        <f>VLOOKUP(Mapping!$I10,_ECB_CS,4,FALSE)</f>
        <v>390</v>
      </c>
      <c r="Y10" s="26">
        <f>VLOOKUP(Mapping!$H10,_CEUS,2,FALSE)</f>
        <v>17.534246575342468</v>
      </c>
      <c r="Z10" s="26">
        <f>VLOOKUP(Mapping!$H10,_CEUS,3,FALSE)</f>
        <v>1.1267123287671232</v>
      </c>
      <c r="AA10" s="11" t="s">
        <v>35</v>
      </c>
      <c r="AB10" s="176" t="s">
        <v>227</v>
      </c>
      <c r="AD10" s="194" t="str">
        <f t="shared" si="0"/>
        <v>B</v>
      </c>
      <c r="AE10" s="176" t="str">
        <f t="shared" si="1"/>
        <v>Cafeteria, fast food, family dining, bar, lounge</v>
      </c>
      <c r="AI10" s="27"/>
      <c r="AJ10" s="27"/>
    </row>
    <row r="11" spans="1:36">
      <c r="A11" t="s">
        <v>230</v>
      </c>
      <c r="B11" s="26">
        <f>VLOOKUP(Mapping!$E11,_90_1_2001,2,FALSE)</f>
        <v>1.5</v>
      </c>
      <c r="C11" s="26">
        <f>VLOOKUP(Mapping!$D11,_90_1_2007,2,FALSE)</f>
        <v>1</v>
      </c>
      <c r="D11" s="26">
        <f>VLOOKUP(Mapping!$C11,_90_1_2010,2,FALSE)</f>
        <v>0.61</v>
      </c>
      <c r="E11" s="26" t="str">
        <f>VLOOKUP(Mapping!$C11,_90_1_2010,3,FALSE)</f>
        <v>n.a.</v>
      </c>
      <c r="F11" s="26">
        <f>VLOOKUP(Mapping!$B11,_90_1_2016BM,2,FALSE)</f>
        <v>1</v>
      </c>
      <c r="G11" s="134">
        <f>VLOOKUP(Mapping!$J11,_ACM05,5,FALSE)</f>
        <v>0.5</v>
      </c>
      <c r="H11" s="169" t="str">
        <f>VLOOKUP(Mapping!$B11,_90_1_2016BM,3,FALSE)</f>
        <v>n.a.</v>
      </c>
      <c r="I11" s="26">
        <f>VLOOKUP(Mapping!G11,_Plugs,13,FALSE)</f>
        <v>1.9561272315249876</v>
      </c>
      <c r="J11" s="231">
        <f>VLOOKUP(Mapping!$F11,_SSPC_90.1,3,FALSE)</f>
        <v>0.6</v>
      </c>
      <c r="K11" s="26">
        <f>VLOOKUP(Mapping!$G11,_Plugs,14,FALSE)</f>
        <v>2</v>
      </c>
      <c r="L11" s="26">
        <f>VLOOKUP(Mapping!$G11,_Plugs,15,FALSE)</f>
        <v>0.29739776951672864</v>
      </c>
      <c r="M11" s="26">
        <f>VLOOKUP(Mapping!$G11,_Plugs,16,FALSE)</f>
        <v>1</v>
      </c>
      <c r="N11" s="135">
        <f>1000/VLOOKUP(Mapping!$J11,_ACM05,2,FALSE)</f>
        <v>200</v>
      </c>
      <c r="O11" s="235">
        <f>VLOOKUP(Mapping!$I11,_ECB_CS,2,FALSE)</f>
        <v>250</v>
      </c>
      <c r="P11" s="235">
        <f>VLOOKUP(Mapping!$J11,_ACM05,3,FALSE)</f>
        <v>245</v>
      </c>
      <c r="Q11" s="235">
        <f>VLOOKUP(Mapping!$J11,_ACM05,4,FALSE)</f>
        <v>155</v>
      </c>
      <c r="R11" s="172">
        <f>VLOOKUP(Mapping!$F11,_SSPC_90.1,5,FALSE)</f>
        <v>100</v>
      </c>
      <c r="S11" s="172">
        <f>VLOOKUP(Mapping!$F11,_SSPC_90.1,6,FALSE)</f>
        <v>250</v>
      </c>
      <c r="T11" s="172">
        <f>VLOOKUP(Mapping!$F11,_SSPC_90.1,7,FALSE)</f>
        <v>200</v>
      </c>
      <c r="U11" s="26">
        <f>VLOOKUP(Mapping!$F11,_SSPC_90.1,4,FALSE)</f>
        <v>0.11</v>
      </c>
      <c r="V11" s="231">
        <f>VLOOKUP(Mapping!$I11,_ECB_CS,5,FALSE)</f>
        <v>0.05</v>
      </c>
      <c r="W11" s="135">
        <f>VLOOKUP(Mapping!$J11,_ACM05,6,FALSE)</f>
        <v>2800</v>
      </c>
      <c r="X11" s="172">
        <f>VLOOKUP(Mapping!$I11,_ECB_CS,4,FALSE)</f>
        <v>1700</v>
      </c>
      <c r="Y11" s="26">
        <f>VLOOKUP(Mapping!$H11,_CEUS,2,FALSE)</f>
        <v>0.69634703196347048</v>
      </c>
      <c r="Z11" s="26">
        <f>VLOOKUP(Mapping!$H11,_CEUS,3,FALSE)</f>
        <v>0.10273972602739725</v>
      </c>
      <c r="AA11" s="11" t="s">
        <v>47</v>
      </c>
      <c r="AB11" s="176" t="s">
        <v>231</v>
      </c>
      <c r="AD11" s="194" t="str">
        <f t="shared" si="0"/>
        <v>F</v>
      </c>
      <c r="AE11" s="176" t="str">
        <f t="shared" si="1"/>
        <v>Dormatory, multifamily</v>
      </c>
      <c r="AI11" s="27"/>
      <c r="AJ11" s="27"/>
    </row>
    <row r="12" spans="1:36">
      <c r="A12" t="s">
        <v>232</v>
      </c>
      <c r="B12" s="26">
        <f>VLOOKUP(Mapping!$E12,_90_1_2001,2,FALSE)</f>
        <v>1.4</v>
      </c>
      <c r="C12" s="26">
        <f>VLOOKUP(Mapping!$D12,_90_1_2007,2,FALSE)</f>
        <v>1</v>
      </c>
      <c r="D12" s="26">
        <f>VLOOKUP(Mapping!$C12,_90_1_2010,2,FALSE)</f>
        <v>0.88</v>
      </c>
      <c r="E12" s="26" t="str">
        <f>VLOOKUP(Mapping!$C12,_90_1_2010,3,FALSE)</f>
        <v>n.a.</v>
      </c>
      <c r="F12" s="26">
        <f>VLOOKUP(Mapping!$B12,_90_1_2016BM,2,FALSE)</f>
        <v>1</v>
      </c>
      <c r="G12" s="134">
        <f>VLOOKUP(Mapping!$J12,_ACM05,5,FALSE)</f>
        <v>1</v>
      </c>
      <c r="H12" s="169" t="str">
        <f>VLOOKUP(Mapping!$B12,_90_1_2016BM,3,FALSE)</f>
        <v>n.a.</v>
      </c>
      <c r="I12" s="26">
        <f>VLOOKUP(Mapping!G12,_Plugs,13,FALSE)</f>
        <v>0.67424666522690402</v>
      </c>
      <c r="J12" s="231">
        <f>VLOOKUP(Mapping!$F12,_SSPC_90.1,3,FALSE)</f>
        <v>0.5</v>
      </c>
      <c r="K12" s="26">
        <f>VLOOKUP(Mapping!$G12,_Plugs,14,FALSE)</f>
        <v>2</v>
      </c>
      <c r="L12" s="26">
        <f>VLOOKUP(Mapping!$G12,_Plugs,15,FALSE)</f>
        <v>0.54832713754646845</v>
      </c>
      <c r="M12" s="26">
        <f>VLOOKUP(Mapping!$G12,_Plugs,16,FALSE)</f>
        <v>1</v>
      </c>
      <c r="N12" s="135">
        <f>1000/VLOOKUP(Mapping!$J12,_ACM05,2,FALSE)</f>
        <v>100</v>
      </c>
      <c r="O12" s="235">
        <f>VLOOKUP(Mapping!$I12,_ECB_CS,2,FALSE)</f>
        <v>200</v>
      </c>
      <c r="P12" s="235">
        <f>VLOOKUP(Mapping!$J12,_ACM05,3,FALSE)</f>
        <v>250</v>
      </c>
      <c r="Q12" s="235">
        <f>VLOOKUP(Mapping!$J12,_ACM05,4,FALSE)</f>
        <v>200</v>
      </c>
      <c r="R12" s="172">
        <f>VLOOKUP(Mapping!$F12,_SSPC_90.1,5,FALSE)</f>
        <v>100</v>
      </c>
      <c r="S12" s="172">
        <f>VLOOKUP(Mapping!$F12,_SSPC_90.1,6,FALSE)</f>
        <v>710</v>
      </c>
      <c r="T12" s="172">
        <f>VLOOKUP(Mapping!$F12,_SSPC_90.1,7,FALSE)</f>
        <v>1090</v>
      </c>
      <c r="U12" s="26">
        <f>VLOOKUP(Mapping!$F12,_SSPC_90.1,4,FALSE)</f>
        <v>0.26</v>
      </c>
      <c r="V12" s="231">
        <f>VLOOKUP(Mapping!$I12,_ECB_CS,5,FALSE)</f>
        <v>0.4</v>
      </c>
      <c r="W12" s="135">
        <f>VLOOKUP(Mapping!$J12,_ACM05,6,FALSE)</f>
        <v>120</v>
      </c>
      <c r="X12" s="172">
        <f>VLOOKUP(Mapping!$I12,_ECB_CS,4,FALSE)</f>
        <v>135</v>
      </c>
      <c r="Y12" s="26">
        <f>VLOOKUP(Mapping!$H12,_CEUS,2,FALSE)</f>
        <v>2.2831050228310501E-2</v>
      </c>
      <c r="Z12" s="26">
        <f>VLOOKUP(Mapping!$H12,_CEUS,3,FALSE)</f>
        <v>6.6210045662100453E-2</v>
      </c>
      <c r="AA12" s="11" t="s">
        <v>35</v>
      </c>
      <c r="AB12" s="176" t="s">
        <v>223</v>
      </c>
      <c r="AD12" s="194" t="str">
        <f t="shared" si="0"/>
        <v>H</v>
      </c>
      <c r="AE12" s="176" t="str">
        <f t="shared" si="1"/>
        <v>Convention center, exercise center, motion picture theature, performing arts theater, religious building, sports arena</v>
      </c>
      <c r="AI12" s="27"/>
      <c r="AJ12" s="27"/>
    </row>
    <row r="13" spans="1:36">
      <c r="A13" t="s">
        <v>233</v>
      </c>
      <c r="B13" s="26">
        <f>VLOOKUP(Mapping!$E13,_90_1_2001,2,FALSE)</f>
        <v>1.3</v>
      </c>
      <c r="C13" s="26">
        <f>VLOOKUP(Mapping!$D13,_90_1_2007,2,FALSE)</f>
        <v>1</v>
      </c>
      <c r="D13" s="26">
        <f>VLOOKUP(Mapping!$C13,_90_1_2010,2,FALSE)</f>
        <v>0.71</v>
      </c>
      <c r="E13" s="26" t="str">
        <f>VLOOKUP(Mapping!$C13,_90_1_2010,3,FALSE)</f>
        <v>n.a.</v>
      </c>
      <c r="F13" s="26">
        <f>VLOOKUP(Mapping!$B13,_90_1_2016BM,2,FALSE)</f>
        <v>1</v>
      </c>
      <c r="G13" s="134">
        <f>VLOOKUP(Mapping!$J13,_ACM05,5,FALSE)</f>
        <v>1.5</v>
      </c>
      <c r="H13" s="169" t="str">
        <f>VLOOKUP(Mapping!$B13,_90_1_2016BM,3,FALSE)</f>
        <v>n.a.</v>
      </c>
      <c r="I13" s="26">
        <f>VLOOKUP(Mapping!G13,_Plugs,13,FALSE)</f>
        <v>1.5403580152290588</v>
      </c>
      <c r="J13" s="231">
        <f>VLOOKUP(Mapping!$F13,_SSPC_90.1,3,FALSE)</f>
        <v>1.5</v>
      </c>
      <c r="K13" s="26">
        <f>VLOOKUP(Mapping!$G13,_Plugs,14,FALSE)</f>
        <v>2</v>
      </c>
      <c r="L13" s="26">
        <f>VLOOKUP(Mapping!$G13,_Plugs,15,FALSE)</f>
        <v>1.1152416356877324</v>
      </c>
      <c r="M13" s="26">
        <f>VLOOKUP(Mapping!$G13,_Plugs,16,FALSE)</f>
        <v>1</v>
      </c>
      <c r="N13" s="135">
        <f>1000/VLOOKUP(Mapping!$J13,_ACM05,2,FALSE)</f>
        <v>100</v>
      </c>
      <c r="O13" s="235">
        <f>VLOOKUP(Mapping!$I13,_ECB_CS,2,FALSE)</f>
        <v>250</v>
      </c>
      <c r="P13" s="235">
        <f>VLOOKUP(Mapping!$J13,_ACM05,3,FALSE)</f>
        <v>250</v>
      </c>
      <c r="Q13" s="235">
        <f>VLOOKUP(Mapping!$J13,_ACM05,4,FALSE)</f>
        <v>200</v>
      </c>
      <c r="R13" s="172">
        <f>VLOOKUP(Mapping!$F13,_SSPC_90.1,5,FALSE)</f>
        <v>33</v>
      </c>
      <c r="S13" s="172">
        <f>VLOOKUP(Mapping!$F13,_SSPC_90.1,6,FALSE)</f>
        <v>250</v>
      </c>
      <c r="T13" s="172">
        <f>VLOOKUP(Mapping!$F13,_SSPC_90.1,7,FALSE)</f>
        <v>200</v>
      </c>
      <c r="U13" s="26">
        <f>VLOOKUP(Mapping!$F13,_SSPC_90.1,4,FALSE)</f>
        <v>0.21</v>
      </c>
      <c r="V13" s="231">
        <f>VLOOKUP(Mapping!$I13,_ECB_CS,5,FALSE)</f>
        <v>0.08</v>
      </c>
      <c r="W13" s="135">
        <f>VLOOKUP(Mapping!$J13,_ACM05,6,FALSE)</f>
        <v>120</v>
      </c>
      <c r="X13" s="172">
        <f>VLOOKUP(Mapping!$I13,_ECB_CS,4,FALSE)</f>
        <v>300</v>
      </c>
      <c r="Y13" s="26">
        <f>VLOOKUP(Mapping!$H13,_CEUS,2,FALSE)</f>
        <v>0.75342465753424659</v>
      </c>
      <c r="Z13" s="26">
        <f>VLOOKUP(Mapping!$H13,_CEUS,3,FALSE)</f>
        <v>9.8173515981735154E-2</v>
      </c>
      <c r="AA13" s="32" t="s">
        <v>51</v>
      </c>
      <c r="AB13" s="176" t="s">
        <v>234</v>
      </c>
      <c r="AD13" s="194" t="str">
        <f t="shared" si="0"/>
        <v>E</v>
      </c>
      <c r="AE13" s="176" t="str">
        <f t="shared" si="1"/>
        <v>Fire station, clinic, hospital, police station, transportation</v>
      </c>
      <c r="AI13" s="27"/>
      <c r="AJ13" s="27"/>
    </row>
    <row r="14" spans="1:36">
      <c r="A14" t="s">
        <v>235</v>
      </c>
      <c r="B14" s="26">
        <f>VLOOKUP(Mapping!$E14,_90_1_2001,2,FALSE)</f>
        <v>1.7</v>
      </c>
      <c r="C14" s="26">
        <f>VLOOKUP(Mapping!$D14,_90_1_2007,2,FALSE)</f>
        <v>1.1000000000000001</v>
      </c>
      <c r="D14" s="26">
        <f>VLOOKUP(Mapping!$C14,_90_1_2010,2,FALSE)</f>
        <v>1</v>
      </c>
      <c r="E14" s="26" t="str">
        <f>VLOOKUP(Mapping!$C14,_90_1_2010,3,FALSE)</f>
        <v>n.a.</v>
      </c>
      <c r="F14" s="26">
        <f>VLOOKUP(Mapping!$B14,_90_1_2016BM,2,FALSE)</f>
        <v>1.1000000000000001</v>
      </c>
      <c r="G14" s="134">
        <f>VLOOKUP(Mapping!$J14,_ACM05,5,FALSE)</f>
        <v>0.5</v>
      </c>
      <c r="H14" s="169" t="str">
        <f>VLOOKUP(Mapping!$B14,_90_1_2016BM,3,FALSE)</f>
        <v>n.a.</v>
      </c>
      <c r="I14" s="26">
        <f>VLOOKUP(Mapping!G14,_Plugs,13,FALSE)</f>
        <v>0.67424666522690402</v>
      </c>
      <c r="J14" s="231">
        <f>VLOOKUP(Mapping!$F14,_SSPC_90.1,3,FALSE)</f>
        <v>0.5</v>
      </c>
      <c r="K14" s="26">
        <f>VLOOKUP(Mapping!$G14,_Plugs,14,FALSE)</f>
        <v>2</v>
      </c>
      <c r="L14" s="26">
        <f>VLOOKUP(Mapping!$G14,_Plugs,15,FALSE)</f>
        <v>0.54832713754646845</v>
      </c>
      <c r="M14" s="26">
        <f>VLOOKUP(Mapping!$G14,_Plugs,16,FALSE)</f>
        <v>1</v>
      </c>
      <c r="N14" s="135">
        <f>1000/VLOOKUP(Mapping!$J14,_ACM05,2,FALSE)</f>
        <v>50</v>
      </c>
      <c r="O14" s="235">
        <f>VLOOKUP(Mapping!$I14,_ECB_CS,2,FALSE)</f>
        <v>200</v>
      </c>
      <c r="P14" s="235">
        <f>VLOOKUP(Mapping!$J14,_ACM05,3,FALSE)</f>
        <v>255</v>
      </c>
      <c r="Q14" s="235">
        <f>VLOOKUP(Mapping!$J14,_ACM05,4,FALSE)</f>
        <v>875</v>
      </c>
      <c r="R14" s="172">
        <f>VLOOKUP(Mapping!$F14,_SSPC_90.1,5,FALSE)</f>
        <v>33</v>
      </c>
      <c r="S14" s="172">
        <f>VLOOKUP(Mapping!$F14,_SSPC_90.1,6,FALSE)</f>
        <v>710</v>
      </c>
      <c r="T14" s="172">
        <f>VLOOKUP(Mapping!$F14,_SSPC_90.1,7,FALSE)</f>
        <v>1090</v>
      </c>
      <c r="U14" s="26">
        <f>VLOOKUP(Mapping!$F14,_SSPC_90.1,4,FALSE)</f>
        <v>0.3</v>
      </c>
      <c r="V14" s="231">
        <f>VLOOKUP(Mapping!$I14,_ECB_CS,5,FALSE)</f>
        <v>0.4</v>
      </c>
      <c r="W14" s="135">
        <f>VLOOKUP(Mapping!$J14,_ACM05,6,FALSE)</f>
        <v>120</v>
      </c>
      <c r="X14" s="172">
        <f>VLOOKUP(Mapping!$I14,_ECB_CS,4,FALSE)</f>
        <v>135</v>
      </c>
      <c r="Y14" s="26">
        <f>VLOOKUP(Mapping!$H14,_CEUS,2,FALSE)</f>
        <v>2.2831050228310501E-2</v>
      </c>
      <c r="Z14" s="26">
        <f>VLOOKUP(Mapping!$H14,_CEUS,3,FALSE)</f>
        <v>6.6210045662100453E-2</v>
      </c>
      <c r="AA14" s="11" t="s">
        <v>35</v>
      </c>
      <c r="AB14" s="176" t="s">
        <v>236</v>
      </c>
      <c r="AD14" s="194" t="str">
        <f t="shared" si="0"/>
        <v>I</v>
      </c>
      <c r="AE14" s="176" t="str">
        <f t="shared" si="1"/>
        <v>Gymnasium</v>
      </c>
      <c r="AI14" s="27"/>
      <c r="AJ14" s="27"/>
    </row>
    <row r="15" spans="1:36">
      <c r="A15" t="s">
        <v>237</v>
      </c>
      <c r="B15" s="26">
        <f>VLOOKUP(Mapping!$E15,_90_1_2001,2,FALSE)</f>
        <v>1.6</v>
      </c>
      <c r="C15" s="26">
        <f>VLOOKUP(Mapping!$D15,_90_1_2007,2,FALSE)</f>
        <v>1</v>
      </c>
      <c r="D15" s="26">
        <f>VLOOKUP(Mapping!$C15,_90_1_2010,2,FALSE)</f>
        <v>0.87</v>
      </c>
      <c r="E15" s="26" t="str">
        <f>VLOOKUP(Mapping!$C15,_90_1_2010,3,FALSE)</f>
        <v>n.a.</v>
      </c>
      <c r="F15" s="26">
        <f>VLOOKUP(Mapping!$B15,_90_1_2016BM,2,FALSE)</f>
        <v>1</v>
      </c>
      <c r="G15" s="134">
        <f>VLOOKUP(Mapping!$J15,_ACM05,5,FALSE)</f>
        <v>1.18</v>
      </c>
      <c r="H15" s="169" t="str">
        <f>VLOOKUP(Mapping!$B15,_90_1_2016BM,3,FALSE)</f>
        <v>n.a.</v>
      </c>
      <c r="I15" s="26">
        <f>VLOOKUP(Mapping!G15,_Plugs,13,FALSE)</f>
        <v>1.2201659385238521</v>
      </c>
      <c r="J15" s="231">
        <f>VLOOKUP(Mapping!$F15,_SSPC_90.1,3,FALSE)</f>
        <v>2</v>
      </c>
      <c r="K15" s="26">
        <f>VLOOKUP(Mapping!$G15,_Plugs,14,FALSE)</f>
        <v>2</v>
      </c>
      <c r="L15" s="26">
        <f>VLOOKUP(Mapping!$G15,_Plugs,15,FALSE)</f>
        <v>0.54832713754646845</v>
      </c>
      <c r="M15" s="26">
        <f>VLOOKUP(Mapping!$G15,_Plugs,16,FALSE)</f>
        <v>1</v>
      </c>
      <c r="N15" s="135">
        <f>1000/VLOOKUP(Mapping!$J15,_ACM05,2,FALSE)</f>
        <v>100</v>
      </c>
      <c r="O15" s="235">
        <f>VLOOKUP(Mapping!$I15,_ECB_CS,2,FALSE)</f>
        <v>200</v>
      </c>
      <c r="P15" s="235">
        <f>VLOOKUP(Mapping!$J15,_ACM05,3,FALSE)</f>
        <v>250</v>
      </c>
      <c r="Q15" s="235">
        <f>VLOOKUP(Mapping!$J15,_ACM05,4,FALSE)</f>
        <v>213</v>
      </c>
      <c r="R15" s="172">
        <f>VLOOKUP(Mapping!$F15,_SSPC_90.1,5,FALSE)</f>
        <v>200</v>
      </c>
      <c r="S15" s="172">
        <f>VLOOKUP(Mapping!$F15,_SSPC_90.1,6,FALSE)</f>
        <v>250</v>
      </c>
      <c r="T15" s="172">
        <f>VLOOKUP(Mapping!$F15,_SSPC_90.1,7,FALSE)</f>
        <v>200</v>
      </c>
      <c r="U15" s="26">
        <f>VLOOKUP(Mapping!$F15,_SSPC_90.1,4,FALSE)</f>
        <v>0.47</v>
      </c>
      <c r="V15" s="231">
        <f>VLOOKUP(Mapping!$I15,_ECB_CS,5,FALSE)</f>
        <v>0.4</v>
      </c>
      <c r="W15" s="135">
        <f>VLOOKUP(Mapping!$J15,_ACM05,6,FALSE)</f>
        <v>110</v>
      </c>
      <c r="X15" s="172">
        <f>VLOOKUP(Mapping!$I15,_ECB_CS,4,FALSE)</f>
        <v>135</v>
      </c>
      <c r="Y15" s="26">
        <f>VLOOKUP(Mapping!$H15,_CEUS,2,FALSE)</f>
        <v>1.1301369863013697</v>
      </c>
      <c r="Z15" s="26">
        <f>VLOOKUP(Mapping!$H15,_CEUS,3,FALSE)</f>
        <v>8.1050228310502279E-2</v>
      </c>
      <c r="AA15" s="11" t="s">
        <v>35</v>
      </c>
      <c r="AB15" s="176" t="s">
        <v>234</v>
      </c>
      <c r="AD15" s="194" t="str">
        <f t="shared" si="0"/>
        <v>E</v>
      </c>
      <c r="AE15" s="176" t="str">
        <f t="shared" si="1"/>
        <v>Fire station, clinic, hospital, police station, transportation</v>
      </c>
      <c r="AI15" s="27"/>
      <c r="AJ15" s="27"/>
    </row>
    <row r="16" spans="1:36">
      <c r="A16" t="s">
        <v>238</v>
      </c>
      <c r="B16" s="26">
        <f>VLOOKUP(Mapping!$E16,_90_1_2001,2,FALSE)</f>
        <v>1.6</v>
      </c>
      <c r="C16" s="26">
        <f>VLOOKUP(Mapping!$D16,_90_1_2007,2,FALSE)</f>
        <v>1.2</v>
      </c>
      <c r="D16" s="26">
        <f>VLOOKUP(Mapping!$C16,_90_1_2010,2,FALSE)</f>
        <v>1.21</v>
      </c>
      <c r="E16" s="26" t="str">
        <f>VLOOKUP(Mapping!$C16,_90_1_2010,3,FALSE)</f>
        <v>n.a.</v>
      </c>
      <c r="F16" s="26">
        <f>VLOOKUP(Mapping!$B16,_90_1_2016BM,2,FALSE)</f>
        <v>1.2</v>
      </c>
      <c r="G16" s="134">
        <f>VLOOKUP(Mapping!$J16,_ACM05,5,FALSE)</f>
        <v>1.18</v>
      </c>
      <c r="H16" s="169" t="str">
        <f>VLOOKUP(Mapping!$B16,_90_1_2016BM,3,FALSE)</f>
        <v>n.a.</v>
      </c>
      <c r="I16" s="26">
        <f>VLOOKUP(Mapping!G16,_Plugs,13,FALSE)</f>
        <v>1.2488271893219809</v>
      </c>
      <c r="J16" s="231">
        <f>VLOOKUP(Mapping!$F16,_SSPC_90.1,3,FALSE)</f>
        <v>2</v>
      </c>
      <c r="K16" s="26">
        <f>VLOOKUP(Mapping!$G16,_Plugs,14,FALSE)</f>
        <v>2</v>
      </c>
      <c r="L16" s="26">
        <f>VLOOKUP(Mapping!$G16,_Plugs,15,FALSE)</f>
        <v>0.762081784386617</v>
      </c>
      <c r="M16" s="26">
        <f>VLOOKUP(Mapping!$G16,_Plugs,16,FALSE)</f>
        <v>1</v>
      </c>
      <c r="N16" s="135">
        <f>1000/VLOOKUP(Mapping!$J16,_ACM05,2,FALSE)</f>
        <v>100</v>
      </c>
      <c r="O16" s="235">
        <f>VLOOKUP(Mapping!$I16,_ECB_CS,2,FALSE)</f>
        <v>200</v>
      </c>
      <c r="P16" s="235">
        <f>VLOOKUP(Mapping!$J16,_ACM05,3,FALSE)</f>
        <v>250</v>
      </c>
      <c r="Q16" s="235">
        <f>VLOOKUP(Mapping!$J16,_ACM05,4,FALSE)</f>
        <v>213</v>
      </c>
      <c r="R16" s="172">
        <f>VLOOKUP(Mapping!$F16,_SSPC_90.1,5,FALSE)</f>
        <v>200</v>
      </c>
      <c r="S16" s="172">
        <f>VLOOKUP(Mapping!$F16,_SSPC_90.1,6,FALSE)</f>
        <v>250</v>
      </c>
      <c r="T16" s="172">
        <f>VLOOKUP(Mapping!$F16,_SSPC_90.1,7,FALSE)</f>
        <v>200</v>
      </c>
      <c r="U16" s="26">
        <f>VLOOKUP(Mapping!$F16,_SSPC_90.1,4,FALSE)</f>
        <v>0.47</v>
      </c>
      <c r="V16" s="231">
        <f>VLOOKUP(Mapping!$I16,_ECB_CS,5,FALSE)</f>
        <v>0.4</v>
      </c>
      <c r="W16" s="135">
        <f>VLOOKUP(Mapping!$J16,_ACM05,6,FALSE)</f>
        <v>110</v>
      </c>
      <c r="X16" s="172">
        <f>VLOOKUP(Mapping!$I16,_ECB_CS,4,FALSE)</f>
        <v>135</v>
      </c>
      <c r="Y16" s="26">
        <f>VLOOKUP(Mapping!$H16,_CEUS,2,FALSE)</f>
        <v>1.1301369863013697</v>
      </c>
      <c r="Z16" s="26">
        <f>VLOOKUP(Mapping!$H16,_CEUS,3,FALSE)</f>
        <v>8.1050228310502279E-2</v>
      </c>
      <c r="AA16" s="11" t="s">
        <v>35</v>
      </c>
      <c r="AB16" s="176" t="s">
        <v>234</v>
      </c>
      <c r="AD16" s="194" t="str">
        <f t="shared" si="0"/>
        <v>E</v>
      </c>
      <c r="AE16" s="176" t="str">
        <f t="shared" si="1"/>
        <v>Fire station, clinic, hospital, police station, transportation</v>
      </c>
      <c r="AI16" s="27"/>
      <c r="AJ16" s="27"/>
    </row>
    <row r="17" spans="1:36">
      <c r="A17" s="27" t="s">
        <v>239</v>
      </c>
      <c r="B17" s="26">
        <f>VLOOKUP(Mapping!$E17,_90_1_2001,2,FALSE)</f>
        <v>1.7</v>
      </c>
      <c r="C17" s="26">
        <f>VLOOKUP(Mapping!$D17,_90_1_2007,2,FALSE)</f>
        <v>1</v>
      </c>
      <c r="D17" s="26">
        <f>VLOOKUP(Mapping!$C17,_90_1_2010,2,FALSE)</f>
        <v>1</v>
      </c>
      <c r="E17" s="26" t="str">
        <f>VLOOKUP(Mapping!$C17,_90_1_2010,3,FALSE)</f>
        <v>n.a.</v>
      </c>
      <c r="F17" s="26">
        <f>VLOOKUP(Mapping!$B17,_90_1_2016BM,2,FALSE)</f>
        <v>1.0900000000000001</v>
      </c>
      <c r="G17" s="134">
        <f>VLOOKUP(Mapping!$J17,_ACM05,5,FALSE)</f>
        <v>0.5</v>
      </c>
      <c r="H17" s="169" t="str">
        <f>VLOOKUP(Mapping!$B17,_90_1_2016BM,3,FALSE)</f>
        <v>n.a.</v>
      </c>
      <c r="I17" s="26">
        <f>VLOOKUP(Mapping!G17,_Plugs,13,FALSE)</f>
        <v>1.5641288213559472</v>
      </c>
      <c r="J17" s="231">
        <f>VLOOKUP(Mapping!$F17,_SSPC_90.1,3,FALSE)</f>
        <v>1.1100000000000001</v>
      </c>
      <c r="K17" s="26">
        <f>VLOOKUP(Mapping!$G17,_Plugs,14,FALSE)</f>
        <v>2</v>
      </c>
      <c r="L17" s="26">
        <f>VLOOKUP(Mapping!$G17,_Plugs,15,FALSE)</f>
        <v>0.29739776951672864</v>
      </c>
      <c r="M17" s="26">
        <f>VLOOKUP(Mapping!$G17,_Plugs,16,FALSE)</f>
        <v>1</v>
      </c>
      <c r="N17" s="135">
        <f>1000/VLOOKUP(Mapping!$J17,_ACM05,2,FALSE)</f>
        <v>200</v>
      </c>
      <c r="O17" s="235">
        <f>VLOOKUP(Mapping!$I17,_ECB_CS,2,FALSE)</f>
        <v>250</v>
      </c>
      <c r="P17" s="235">
        <f>VLOOKUP(Mapping!$J17,_ACM05,3,FALSE)</f>
        <v>245</v>
      </c>
      <c r="Q17" s="235">
        <f>VLOOKUP(Mapping!$J17,_ACM05,4,FALSE)</f>
        <v>155</v>
      </c>
      <c r="R17" s="172">
        <f>VLOOKUP(Mapping!$F17,_SSPC_90.1,5,FALSE)</f>
        <v>250</v>
      </c>
      <c r="S17" s="172">
        <f>VLOOKUP(Mapping!$F17,_SSPC_90.1,6,FALSE)</f>
        <v>250</v>
      </c>
      <c r="T17" s="172">
        <f>VLOOKUP(Mapping!$F17,_SSPC_90.1,7,FALSE)</f>
        <v>200</v>
      </c>
      <c r="U17" s="26">
        <f>VLOOKUP(Mapping!$F17,_SSPC_90.1,4,FALSE)</f>
        <v>0.08</v>
      </c>
      <c r="V17" s="231">
        <f>VLOOKUP(Mapping!$I17,_ECB_CS,5,FALSE)</f>
        <v>0.05</v>
      </c>
      <c r="W17" s="135">
        <f>VLOOKUP(Mapping!$J17,_ACM05,6,FALSE)</f>
        <v>2800</v>
      </c>
      <c r="X17" s="172">
        <f>VLOOKUP(Mapping!$I17,_ECB_CS,4,FALSE)</f>
        <v>1700</v>
      </c>
      <c r="Y17" s="26">
        <f>VLOOKUP(Mapping!$H17,_CEUS,2,FALSE)</f>
        <v>0.69634703196347048</v>
      </c>
      <c r="Z17" s="26">
        <f>VLOOKUP(Mapping!$H17,_CEUS,3,FALSE)</f>
        <v>0.10273972602739725</v>
      </c>
      <c r="AA17" s="11" t="s">
        <v>58</v>
      </c>
      <c r="AB17" s="176" t="s">
        <v>240</v>
      </c>
      <c r="AD17" s="194" t="str">
        <f t="shared" si="0"/>
        <v>D</v>
      </c>
      <c r="AE17" s="176" t="str">
        <f t="shared" si="1"/>
        <v>Hotel, motel, penitentiary</v>
      </c>
      <c r="AI17" s="27"/>
      <c r="AJ17" s="27"/>
    </row>
    <row r="18" spans="1:36">
      <c r="A18" t="s">
        <v>241</v>
      </c>
      <c r="B18" s="26">
        <f>VLOOKUP(Mapping!$E18,_90_1_2001,2,FALSE)</f>
        <v>1.5</v>
      </c>
      <c r="C18" s="26">
        <f>VLOOKUP(Mapping!$D18,_90_1_2007,2,FALSE)</f>
        <v>1.3</v>
      </c>
      <c r="D18" s="26">
        <f>VLOOKUP(Mapping!$C18,_90_1_2010,2,FALSE)</f>
        <v>1.18</v>
      </c>
      <c r="E18" s="26" t="str">
        <f>VLOOKUP(Mapping!$C18,_90_1_2010,3,FALSE)</f>
        <v>n.a.</v>
      </c>
      <c r="F18" s="26">
        <f>VLOOKUP(Mapping!$B18,_90_1_2016BM,2,FALSE)</f>
        <v>1.3</v>
      </c>
      <c r="G18" s="134">
        <f>VLOOKUP(Mapping!$J18,_ACM05,5,FALSE)</f>
        <v>1.5</v>
      </c>
      <c r="H18" s="169" t="str">
        <f>VLOOKUP(Mapping!$B18,_90_1_2016BM,3,FALSE)</f>
        <v>n.a.</v>
      </c>
      <c r="I18" s="26">
        <f>VLOOKUP(Mapping!G18,_Plugs,13,FALSE)</f>
        <v>0.93722970243154469</v>
      </c>
      <c r="J18" s="231">
        <f>VLOOKUP(Mapping!$F18,_SSPC_90.1,3,FALSE)</f>
        <v>1.5</v>
      </c>
      <c r="K18" s="26">
        <f>VLOOKUP(Mapping!$G18,_Plugs,14,FALSE)</f>
        <v>2</v>
      </c>
      <c r="L18" s="26">
        <f>VLOOKUP(Mapping!$G18,_Plugs,15,FALSE)</f>
        <v>0.54832713754646845</v>
      </c>
      <c r="M18" s="26">
        <f>VLOOKUP(Mapping!$G18,_Plugs,16,FALSE)</f>
        <v>1</v>
      </c>
      <c r="N18" s="135">
        <f>1000/VLOOKUP(Mapping!$J18,_ACM05,2,FALSE)</f>
        <v>100</v>
      </c>
      <c r="O18" s="235">
        <f>VLOOKUP(Mapping!$I18,_ECB_CS,2,FALSE)</f>
        <v>75</v>
      </c>
      <c r="P18" s="235">
        <f>VLOOKUP(Mapping!$J18,_ACM05,3,FALSE)</f>
        <v>250</v>
      </c>
      <c r="Q18" s="235">
        <f>VLOOKUP(Mapping!$J18,_ACM05,4,FALSE)</f>
        <v>250</v>
      </c>
      <c r="R18" s="172">
        <f>VLOOKUP(Mapping!$F18,_SSPC_90.1,5,FALSE)</f>
        <v>100</v>
      </c>
      <c r="S18" s="172">
        <f>VLOOKUP(Mapping!$F18,_SSPC_90.1,6,FALSE)</f>
        <v>250</v>
      </c>
      <c r="T18" s="172">
        <f>VLOOKUP(Mapping!$F18,_SSPC_90.1,7,FALSE)</f>
        <v>200</v>
      </c>
      <c r="U18" s="26">
        <f>VLOOKUP(Mapping!$F18,_SSPC_90.1,4,FALSE)</f>
        <v>0.11</v>
      </c>
      <c r="V18" s="231">
        <f>VLOOKUP(Mapping!$I18,_ECB_CS,5,FALSE)</f>
        <v>0.2</v>
      </c>
      <c r="W18" s="135">
        <f>VLOOKUP(Mapping!$J18,_ACM05,6,FALSE)</f>
        <v>120</v>
      </c>
      <c r="X18" s="172">
        <f>VLOOKUP(Mapping!$I18,_ECB_CS,4,FALSE)</f>
        <v>215</v>
      </c>
      <c r="Y18" s="26">
        <f>VLOOKUP(Mapping!$H18,_CEUS,2,FALSE)</f>
        <v>2.2831050228310501E-2</v>
      </c>
      <c r="Z18" s="26">
        <f>VLOOKUP(Mapping!$H18,_CEUS,3,FALSE)</f>
        <v>6.6210045662100453E-2</v>
      </c>
      <c r="AA18" s="11" t="s">
        <v>35</v>
      </c>
      <c r="AB18" s="176" t="s">
        <v>242</v>
      </c>
      <c r="AD18" s="194" t="str">
        <f t="shared" si="0"/>
        <v>C</v>
      </c>
      <c r="AE18" s="176" t="str">
        <f t="shared" si="1"/>
        <v>Library, museum, retail</v>
      </c>
      <c r="AI18" s="27"/>
      <c r="AJ18" s="27"/>
    </row>
    <row r="19" spans="1:36">
      <c r="A19" t="s">
        <v>243</v>
      </c>
      <c r="B19" s="26">
        <f>VLOOKUP(Mapping!$E19,_90_1_2001,2,FALSE)</f>
        <v>2.2000000000000002</v>
      </c>
      <c r="C19" s="26">
        <f>VLOOKUP(Mapping!$D19,_90_1_2007,2,FALSE)</f>
        <v>1.3</v>
      </c>
      <c r="D19" s="26">
        <f>VLOOKUP(Mapping!$C19,_90_1_2010,2,FALSE)</f>
        <v>1.1100000000000001</v>
      </c>
      <c r="E19" s="26" t="str">
        <f>VLOOKUP(Mapping!$C19,_90_1_2010,3,FALSE)</f>
        <v>n.a.</v>
      </c>
      <c r="F19" s="26">
        <f>VLOOKUP(Mapping!$B19,_90_1_2016BM,2,FALSE)</f>
        <v>1.17</v>
      </c>
      <c r="G19" s="134">
        <f>VLOOKUP(Mapping!$J19,_ACM05,5,FALSE)</f>
        <v>1</v>
      </c>
      <c r="H19" s="169" t="str">
        <f>VLOOKUP(Mapping!$B19,_90_1_2016BM,3,FALSE)</f>
        <v>n.a.</v>
      </c>
      <c r="I19" s="26">
        <f>VLOOKUP(Mapping!G19,_Plugs,13,FALSE)</f>
        <v>0.34481488715257669</v>
      </c>
      <c r="J19" s="231">
        <f>VLOOKUP(Mapping!$F19,_SSPC_90.1,3,FALSE)</f>
        <v>1</v>
      </c>
      <c r="K19" s="26">
        <f>VLOOKUP(Mapping!$G19,_Plugs,14,FALSE)</f>
        <v>2</v>
      </c>
      <c r="L19" s="26">
        <f>VLOOKUP(Mapping!$G19,_Plugs,15,FALSE)</f>
        <v>0.18587360594795541</v>
      </c>
      <c r="M19" s="26">
        <f>VLOOKUP(Mapping!$G19,_Plugs,16,FALSE)</f>
        <v>1</v>
      </c>
      <c r="N19" s="135">
        <f>1000/VLOOKUP(Mapping!$J19,_ACM05,2,FALSE)</f>
        <v>142.85714285714286</v>
      </c>
      <c r="O19" s="235">
        <f>VLOOKUP(Mapping!$I19,_ECB_CS,2,FALSE)</f>
        <v>750</v>
      </c>
      <c r="P19" s="235">
        <f>VLOOKUP(Mapping!$J19,_ACM05,3,FALSE)</f>
        <v>375</v>
      </c>
      <c r="Q19" s="235">
        <f>VLOOKUP(Mapping!$J19,_ACM05,4,FALSE)</f>
        <v>625</v>
      </c>
      <c r="R19" s="172">
        <f>VLOOKUP(Mapping!$F19,_SSPC_90.1,5,FALSE)</f>
        <v>143</v>
      </c>
      <c r="S19" s="172">
        <f>VLOOKUP(Mapping!$F19,_SSPC_90.1,6,FALSE)</f>
        <v>580</v>
      </c>
      <c r="T19" s="172">
        <f>VLOOKUP(Mapping!$F19,_SSPC_90.1,7,FALSE)</f>
        <v>870</v>
      </c>
      <c r="U19" s="26">
        <f>VLOOKUP(Mapping!$F19,_SSPC_90.1,4,FALSE)</f>
        <v>0.25</v>
      </c>
      <c r="V19" s="231">
        <f>VLOOKUP(Mapping!$I19,_ECB_CS,5,FALSE)</f>
        <v>0.45</v>
      </c>
      <c r="W19" s="135">
        <f>VLOOKUP(Mapping!$J19,_ACM05,6,FALSE)</f>
        <v>120</v>
      </c>
      <c r="X19" s="172">
        <f>VLOOKUP(Mapping!$I19,_ECB_CS,4,FALSE)</f>
        <v>225</v>
      </c>
      <c r="Y19" s="26">
        <f>VLOOKUP(Mapping!$H19,_CEUS,2,FALSE)</f>
        <v>0.75342465753424659</v>
      </c>
      <c r="Z19" s="26">
        <f>VLOOKUP(Mapping!$H19,_CEUS,3,FALSE)</f>
        <v>9.8173515981735154E-2</v>
      </c>
      <c r="AA19" s="11" t="s">
        <v>35</v>
      </c>
      <c r="AB19" s="176" t="s">
        <v>221</v>
      </c>
      <c r="AD19" s="194" t="str">
        <f t="shared" si="0"/>
        <v>J</v>
      </c>
      <c r="AE19" s="176" t="str">
        <f t="shared" si="1"/>
        <v>Automotive facility, workshop, manufacturing facility</v>
      </c>
      <c r="AI19" s="27"/>
      <c r="AJ19" s="27"/>
    </row>
    <row r="20" spans="1:36">
      <c r="A20" t="s">
        <v>244</v>
      </c>
      <c r="B20" s="26">
        <f>VLOOKUP(Mapping!$E20,_90_1_2001,2,FALSE)</f>
        <v>2</v>
      </c>
      <c r="C20" s="26">
        <f>VLOOKUP(Mapping!$D20,_90_1_2007,2,FALSE)</f>
        <v>1</v>
      </c>
      <c r="D20" s="26">
        <f>VLOOKUP(Mapping!$C20,_90_1_2010,2,FALSE)</f>
        <v>0.88</v>
      </c>
      <c r="E20" s="26" t="str">
        <f>VLOOKUP(Mapping!$C20,_90_1_2010,3,FALSE)</f>
        <v>n.a.</v>
      </c>
      <c r="F20" s="26">
        <f>VLOOKUP(Mapping!$B20,_90_1_2016BM,2,FALSE)</f>
        <v>1.0900000000000001</v>
      </c>
      <c r="G20" s="134">
        <f>VLOOKUP(Mapping!$J20,_ACM05,5,FALSE)</f>
        <v>0.5</v>
      </c>
      <c r="H20" s="169" t="str">
        <f>VLOOKUP(Mapping!$B20,_90_1_2016BM,3,FALSE)</f>
        <v>n.a.</v>
      </c>
      <c r="I20" s="26">
        <f>VLOOKUP(Mapping!G20,_Plugs,13,FALSE)</f>
        <v>1.5641288213559472</v>
      </c>
      <c r="J20" s="231">
        <f>VLOOKUP(Mapping!$F20,_SSPC_90.1,3,FALSE)</f>
        <v>1.1100000000000001</v>
      </c>
      <c r="K20" s="26">
        <f>VLOOKUP(Mapping!$G20,_Plugs,14,FALSE)</f>
        <v>2</v>
      </c>
      <c r="L20" s="26">
        <f>VLOOKUP(Mapping!$G20,_Plugs,15,FALSE)</f>
        <v>0.29739776951672864</v>
      </c>
      <c r="M20" s="26">
        <f>VLOOKUP(Mapping!$G20,_Plugs,16,FALSE)</f>
        <v>1</v>
      </c>
      <c r="N20" s="135">
        <f>1000/VLOOKUP(Mapping!$J20,_ACM05,2,FALSE)</f>
        <v>200</v>
      </c>
      <c r="O20" s="235">
        <f>VLOOKUP(Mapping!$I20,_ECB_CS,2,FALSE)</f>
        <v>250</v>
      </c>
      <c r="P20" s="235">
        <f>VLOOKUP(Mapping!$J20,_ACM05,3,FALSE)</f>
        <v>245</v>
      </c>
      <c r="Q20" s="235">
        <f>VLOOKUP(Mapping!$J20,_ACM05,4,FALSE)</f>
        <v>155</v>
      </c>
      <c r="R20" s="172">
        <f>VLOOKUP(Mapping!$F20,_SSPC_90.1,5,FALSE)</f>
        <v>250</v>
      </c>
      <c r="S20" s="172">
        <f>VLOOKUP(Mapping!$F20,_SSPC_90.1,6,FALSE)</f>
        <v>250</v>
      </c>
      <c r="T20" s="172">
        <f>VLOOKUP(Mapping!$F20,_SSPC_90.1,7,FALSE)</f>
        <v>200</v>
      </c>
      <c r="U20" s="26">
        <f>VLOOKUP(Mapping!$F20,_SSPC_90.1,4,FALSE)</f>
        <v>0.08</v>
      </c>
      <c r="V20" s="231">
        <f>VLOOKUP(Mapping!$I20,_ECB_CS,5,FALSE)</f>
        <v>0.05</v>
      </c>
      <c r="W20" s="135">
        <f>VLOOKUP(Mapping!$J20,_ACM05,6,FALSE)</f>
        <v>2800</v>
      </c>
      <c r="X20" s="172">
        <f>VLOOKUP(Mapping!$I20,_ECB_CS,4,FALSE)</f>
        <v>1700</v>
      </c>
      <c r="Y20" s="26">
        <f>VLOOKUP(Mapping!$H20,_CEUS,2,FALSE)</f>
        <v>0.69634703196347048</v>
      </c>
      <c r="Z20" s="26">
        <f>VLOOKUP(Mapping!$H20,_CEUS,3,FALSE)</f>
        <v>0.10273972602739725</v>
      </c>
      <c r="AA20" s="11" t="s">
        <v>47</v>
      </c>
      <c r="AB20" s="176" t="s">
        <v>240</v>
      </c>
      <c r="AD20" s="194" t="str">
        <f t="shared" si="0"/>
        <v>D</v>
      </c>
      <c r="AE20" s="176" t="str">
        <f t="shared" si="1"/>
        <v>Hotel, motel, penitentiary</v>
      </c>
      <c r="AI20" s="27"/>
      <c r="AJ20" s="27"/>
    </row>
    <row r="21" spans="1:36">
      <c r="A21" t="s">
        <v>245</v>
      </c>
      <c r="B21" s="26">
        <f>VLOOKUP(Mapping!$E21,_90_1_2001,2,FALSE)</f>
        <v>1.6</v>
      </c>
      <c r="C21" s="26">
        <f>VLOOKUP(Mapping!$D21,_90_1_2007,2,FALSE)</f>
        <v>1.2</v>
      </c>
      <c r="D21" s="26">
        <f>VLOOKUP(Mapping!$C21,_90_1_2010,2,FALSE)</f>
        <v>0.83</v>
      </c>
      <c r="E21" s="26" t="str">
        <f>VLOOKUP(Mapping!$C21,_90_1_2010,3,FALSE)</f>
        <v>n.a.</v>
      </c>
      <c r="F21" s="26">
        <f>VLOOKUP(Mapping!$B21,_90_1_2016BM,2,FALSE)</f>
        <v>1.2</v>
      </c>
      <c r="G21" s="134">
        <f>VLOOKUP(Mapping!$J21,_ACM05,5,FALSE)</f>
        <v>1</v>
      </c>
      <c r="H21" s="169" t="str">
        <f>VLOOKUP(Mapping!$B21,_90_1_2016BM,3,FALSE)</f>
        <v>n.a.</v>
      </c>
      <c r="I21" s="26">
        <f>VLOOKUP(Mapping!G21,_Plugs,13,FALSE)</f>
        <v>0.74485358050420625</v>
      </c>
      <c r="J21" s="231">
        <f>VLOOKUP(Mapping!$F21,_SSPC_90.1,3,FALSE)</f>
        <v>0.54</v>
      </c>
      <c r="K21" s="26">
        <f>VLOOKUP(Mapping!$G21,_Plugs,14,FALSE)</f>
        <v>2</v>
      </c>
      <c r="L21" s="26">
        <f>VLOOKUP(Mapping!$G21,_Plugs,15,FALSE)</f>
        <v>0.54832713754646845</v>
      </c>
      <c r="M21" s="26">
        <f>VLOOKUP(Mapping!$G21,_Plugs,16,FALSE)</f>
        <v>1</v>
      </c>
      <c r="N21" s="135">
        <f>1000/VLOOKUP(Mapping!$J21,_ACM05,2,FALSE)</f>
        <v>6.9930069930069934</v>
      </c>
      <c r="O21" s="235">
        <f>VLOOKUP(Mapping!$I21,_ECB_CS,2,FALSE)</f>
        <v>50</v>
      </c>
      <c r="P21" s="235">
        <f>VLOOKUP(Mapping!$J21,_ACM05,3,FALSE)</f>
        <v>245</v>
      </c>
      <c r="Q21" s="235">
        <f>VLOOKUP(Mapping!$J21,_ACM05,4,FALSE)</f>
        <v>105</v>
      </c>
      <c r="R21" s="172">
        <f>VLOOKUP(Mapping!$F21,_SSPC_90.1,5,FALSE)</f>
        <v>7</v>
      </c>
      <c r="S21" s="172">
        <f>VLOOKUP(Mapping!$F21,_SSPC_90.1,6,FALSE)</f>
        <v>225</v>
      </c>
      <c r="T21" s="172">
        <f>VLOOKUP(Mapping!$F21,_SSPC_90.1,7,FALSE)</f>
        <v>105</v>
      </c>
      <c r="U21" s="26">
        <f>VLOOKUP(Mapping!$F21,_SSPC_90.1,4,FALSE)</f>
        <v>1.19</v>
      </c>
      <c r="V21" s="231">
        <f>VLOOKUP(Mapping!$I21,_ECB_CS,5,FALSE)</f>
        <v>0.3</v>
      </c>
      <c r="W21" s="135">
        <f>VLOOKUP(Mapping!$J21,_ACM05,6,FALSE)</f>
        <v>60</v>
      </c>
      <c r="X21" s="172">
        <f>VLOOKUP(Mapping!$I21,_ECB_CS,4,FALSE)</f>
        <v>215</v>
      </c>
      <c r="Y21" s="26">
        <f>VLOOKUP(Mapping!$H21,_CEUS,2,FALSE)</f>
        <v>2.2831050228310501E-2</v>
      </c>
      <c r="Z21" s="26">
        <f>VLOOKUP(Mapping!$H21,_CEUS,3,FALSE)</f>
        <v>6.6210045662100453E-2</v>
      </c>
      <c r="AA21" s="11" t="s">
        <v>35</v>
      </c>
      <c r="AB21" s="176" t="s">
        <v>223</v>
      </c>
      <c r="AD21" s="194" t="str">
        <f t="shared" si="0"/>
        <v>H</v>
      </c>
      <c r="AE21" s="176" t="str">
        <f t="shared" si="1"/>
        <v>Convention center, exercise center, motion picture theature, performing arts theater, religious building, sports arena</v>
      </c>
    </row>
    <row r="22" spans="1:36">
      <c r="A22" t="s">
        <v>246</v>
      </c>
      <c r="B22" s="26">
        <f>VLOOKUP(Mapping!$E22,_90_1_2001,2,FALSE)</f>
        <v>1</v>
      </c>
      <c r="C22" s="26">
        <f>VLOOKUP(Mapping!$D22,_90_1_2007,2,FALSE)</f>
        <v>0.7</v>
      </c>
      <c r="D22" s="26">
        <f>VLOOKUP(Mapping!$C22,_90_1_2010,2,FALSE)</f>
        <v>0.6</v>
      </c>
      <c r="E22" s="26" t="str">
        <f>VLOOKUP(Mapping!$C22,_90_1_2010,3,FALSE)</f>
        <v>n.a.</v>
      </c>
      <c r="F22" s="26">
        <f>VLOOKUP(Mapping!$B22,_90_1_2016BM,2,FALSE)</f>
        <v>0.7</v>
      </c>
      <c r="G22" s="134">
        <f>VLOOKUP(Mapping!$J22,_ACM05,5,FALSE)</f>
        <v>0.5</v>
      </c>
      <c r="H22" s="169" t="str">
        <f>VLOOKUP(Mapping!$B22,_90_1_2016BM,3,FALSE)</f>
        <v>n.a.</v>
      </c>
      <c r="I22" s="26">
        <f>VLOOKUP(Mapping!G22,_Plugs,13,FALSE)</f>
        <v>1.4244758690515631</v>
      </c>
      <c r="J22" s="231">
        <f>VLOOKUP(Mapping!$F22,_SSPC_90.1,3,FALSE)</f>
        <v>0.62</v>
      </c>
      <c r="K22" s="26">
        <f>VLOOKUP(Mapping!$G22,_Plugs,14,FALSE)</f>
        <v>2</v>
      </c>
      <c r="L22" s="26">
        <f>VLOOKUP(Mapping!$G22,_Plugs,15,FALSE)</f>
        <v>0.29739776951672864</v>
      </c>
      <c r="M22" s="26">
        <f>VLOOKUP(Mapping!$G22,_Plugs,16,FALSE)</f>
        <v>1</v>
      </c>
      <c r="N22" s="135">
        <f>1000/VLOOKUP(Mapping!$J22,_ACM05,2,FALSE)</f>
        <v>200</v>
      </c>
      <c r="O22" s="235">
        <f>VLOOKUP(Mapping!$I22,_ECB_CS,2,FALSE)</f>
        <v>250</v>
      </c>
      <c r="P22" s="235">
        <f>VLOOKUP(Mapping!$J22,_ACM05,3,FALSE)</f>
        <v>245</v>
      </c>
      <c r="Q22" s="235">
        <f>VLOOKUP(Mapping!$J22,_ACM05,4,FALSE)</f>
        <v>155</v>
      </c>
      <c r="R22" s="172">
        <f>VLOOKUP(Mapping!$F22,_SSPC_90.1,5,FALSE)</f>
        <v>380</v>
      </c>
      <c r="S22" s="172">
        <f>VLOOKUP(Mapping!$F22,_SSPC_90.1,6,FALSE)</f>
        <v>250</v>
      </c>
      <c r="T22" s="172">
        <f>VLOOKUP(Mapping!$F22,_SSPC_90.1,7,FALSE)</f>
        <v>200</v>
      </c>
      <c r="U22" s="26">
        <f>VLOOKUP(Mapping!$F22,_SSPC_90.1,4,FALSE)</f>
        <v>0.06</v>
      </c>
      <c r="V22" s="231">
        <f>VLOOKUP(Mapping!$I22,_ECB_CS,5,FALSE)</f>
        <v>0.06</v>
      </c>
      <c r="W22" s="135">
        <f>VLOOKUP(Mapping!$J22,_ACM05,6,FALSE)</f>
        <v>1700</v>
      </c>
      <c r="X22" s="172">
        <f>VLOOKUP(Mapping!$I22,_ECB_CS,4,FALSE)</f>
        <v>1700</v>
      </c>
      <c r="Y22" s="26">
        <f>VLOOKUP(Mapping!$H22,_CEUS,2,FALSE)</f>
        <v>0.69634703196347048</v>
      </c>
      <c r="Z22" s="26">
        <f>VLOOKUP(Mapping!$H22,_CEUS,3,FALSE)</f>
        <v>0.10273972602739725</v>
      </c>
      <c r="AA22" s="11" t="s">
        <v>47</v>
      </c>
      <c r="AB22" s="176" t="s">
        <v>231</v>
      </c>
      <c r="AD22" s="194" t="str">
        <f t="shared" si="0"/>
        <v>F</v>
      </c>
      <c r="AE22" s="176" t="str">
        <f t="shared" si="1"/>
        <v>Dormatory, multifamily</v>
      </c>
    </row>
    <row r="23" spans="1:36">
      <c r="A23" t="s">
        <v>247</v>
      </c>
      <c r="B23" s="26">
        <f>VLOOKUP(Mapping!$E23,_90_1_2001,2,FALSE)</f>
        <v>1.6</v>
      </c>
      <c r="C23" s="26">
        <f>VLOOKUP(Mapping!$D23,_90_1_2007,2,FALSE)</f>
        <v>1.1000000000000001</v>
      </c>
      <c r="D23" s="26">
        <f>VLOOKUP(Mapping!$C23,_90_1_2010,2,FALSE)</f>
        <v>1.06</v>
      </c>
      <c r="E23" s="26" t="str">
        <f>VLOOKUP(Mapping!$C23,_90_1_2010,3,FALSE)</f>
        <v>n.a.</v>
      </c>
      <c r="F23" s="26">
        <f>VLOOKUP(Mapping!$B23,_90_1_2016BM,2,FALSE)</f>
        <v>1.1000000000000001</v>
      </c>
      <c r="G23" s="134">
        <f>VLOOKUP(Mapping!$J23,_ACM05,5,FALSE)</f>
        <v>1.5</v>
      </c>
      <c r="H23" s="169" t="str">
        <f>VLOOKUP(Mapping!$B23,_90_1_2016BM,3,FALSE)</f>
        <v>n.a.</v>
      </c>
      <c r="I23" s="26">
        <f>VLOOKUP(Mapping!G23,_Plugs,13,FALSE)</f>
        <v>0.74485358050420625</v>
      </c>
      <c r="J23" s="231">
        <f>VLOOKUP(Mapping!$F23,_SSPC_90.1,3,FALSE)</f>
        <v>1.5</v>
      </c>
      <c r="K23" s="26">
        <f>VLOOKUP(Mapping!$G23,_Plugs,14,FALSE)</f>
        <v>2</v>
      </c>
      <c r="L23" s="26">
        <f>VLOOKUP(Mapping!$G23,_Plugs,15,FALSE)</f>
        <v>0.54832713754646845</v>
      </c>
      <c r="M23" s="26">
        <f>VLOOKUP(Mapping!$G23,_Plugs,16,FALSE)</f>
        <v>1</v>
      </c>
      <c r="N23" s="135">
        <f>1000/VLOOKUP(Mapping!$J23,_ACM05,2,FALSE)</f>
        <v>14.925373134328359</v>
      </c>
      <c r="O23" s="235">
        <f>VLOOKUP(Mapping!$I23,_ECB_CS,2,FALSE)</f>
        <v>50</v>
      </c>
      <c r="P23" s="235">
        <f>VLOOKUP(Mapping!$J23,_ACM05,3,FALSE)</f>
        <v>250</v>
      </c>
      <c r="Q23" s="235">
        <f>VLOOKUP(Mapping!$J23,_ACM05,4,FALSE)</f>
        <v>250</v>
      </c>
      <c r="R23" s="172">
        <f>VLOOKUP(Mapping!$F23,_SSPC_90.1,5,FALSE)</f>
        <v>25</v>
      </c>
      <c r="S23" s="172">
        <f>VLOOKUP(Mapping!$F23,_SSPC_90.1,6,FALSE)</f>
        <v>250</v>
      </c>
      <c r="T23" s="172">
        <f>VLOOKUP(Mapping!$F23,_SSPC_90.1,7,FALSE)</f>
        <v>200</v>
      </c>
      <c r="U23" s="26">
        <f>VLOOKUP(Mapping!$F23,_SSPC_90.1,4,FALSE)</f>
        <v>0.36</v>
      </c>
      <c r="V23" s="231">
        <f>VLOOKUP(Mapping!$I23,_ECB_CS,5,FALSE)</f>
        <v>0.3</v>
      </c>
      <c r="W23" s="135">
        <f>VLOOKUP(Mapping!$J23,_ACM05,6,FALSE)</f>
        <v>60</v>
      </c>
      <c r="X23" s="172">
        <f>VLOOKUP(Mapping!$I23,_ECB_CS,4,FALSE)</f>
        <v>215</v>
      </c>
      <c r="Y23" s="26">
        <f>VLOOKUP(Mapping!$H23,_CEUS,2,FALSE)</f>
        <v>2.2831050228310501E-2</v>
      </c>
      <c r="Z23" s="26">
        <f>VLOOKUP(Mapping!$H23,_CEUS,3,FALSE)</f>
        <v>6.6210045662100453E-2</v>
      </c>
      <c r="AA23" s="11" t="s">
        <v>35</v>
      </c>
      <c r="AB23" s="176" t="s">
        <v>242</v>
      </c>
      <c r="AD23" s="194" t="str">
        <f t="shared" si="0"/>
        <v>C</v>
      </c>
      <c r="AE23" s="176" t="str">
        <f t="shared" si="1"/>
        <v>Library, museum, retail</v>
      </c>
    </row>
    <row r="24" spans="1:36">
      <c r="A24" t="s">
        <v>248</v>
      </c>
      <c r="B24" s="26">
        <f>VLOOKUP(Mapping!$E24,_90_1_2001,2,FALSE)</f>
        <v>1.3</v>
      </c>
      <c r="C24" s="26">
        <f>VLOOKUP(Mapping!$D24,_90_1_2007,2,FALSE)</f>
        <v>1</v>
      </c>
      <c r="D24" s="26">
        <f>VLOOKUP(Mapping!$C24,_90_1_2010,2,FALSE)</f>
        <v>0.9</v>
      </c>
      <c r="E24" s="26" t="str">
        <f>VLOOKUP(Mapping!$C24,_90_1_2010,3,FALSE)</f>
        <v>n.a.</v>
      </c>
      <c r="F24" s="26">
        <f>VLOOKUP(Mapping!$B24,_90_1_2016BM,2,FALSE)</f>
        <v>1</v>
      </c>
      <c r="G24" s="134">
        <f>VLOOKUP(Mapping!$J24,_ACM05,5,FALSE)</f>
        <v>1.34</v>
      </c>
      <c r="H24" s="169" t="str">
        <f>VLOOKUP(Mapping!$B24,_90_1_2016BM,3,FALSE)</f>
        <v>n.a.</v>
      </c>
      <c r="I24" s="26">
        <f>VLOOKUP(Mapping!G24,_Plugs,13,FALSE)</f>
        <v>1.672119383011335</v>
      </c>
      <c r="J24" s="231">
        <f>VLOOKUP(Mapping!$F24,_SSPC_90.1,3,FALSE)</f>
        <v>0.75</v>
      </c>
      <c r="K24" s="26">
        <f>VLOOKUP(Mapping!$G24,_Plugs,14,FALSE)</f>
        <v>2</v>
      </c>
      <c r="L24" s="26">
        <f>VLOOKUP(Mapping!$G24,_Plugs,15,FALSE)</f>
        <v>0.77137546468401497</v>
      </c>
      <c r="M24" s="26">
        <f>VLOOKUP(Mapping!$G24,_Plugs,16,FALSE)</f>
        <v>1</v>
      </c>
      <c r="N24" s="135">
        <f>1000/VLOOKUP(Mapping!$J24,_ACM05,2,FALSE)</f>
        <v>100</v>
      </c>
      <c r="O24" s="235">
        <f>VLOOKUP(Mapping!$I24,_ECB_CS,2,FALSE)</f>
        <v>250</v>
      </c>
      <c r="P24" s="235">
        <f>VLOOKUP(Mapping!$J24,_ACM05,3,FALSE)</f>
        <v>250</v>
      </c>
      <c r="Q24" s="235">
        <f>VLOOKUP(Mapping!$J24,_ACM05,4,FALSE)</f>
        <v>206</v>
      </c>
      <c r="R24" s="172">
        <f>VLOOKUP(Mapping!$F24,_SSPC_90.1,5,FALSE)</f>
        <v>200</v>
      </c>
      <c r="S24" s="172">
        <f>VLOOKUP(Mapping!$F24,_SSPC_90.1,6,FALSE)</f>
        <v>250</v>
      </c>
      <c r="T24" s="172">
        <f>VLOOKUP(Mapping!$F24,_SSPC_90.1,7,FALSE)</f>
        <v>200</v>
      </c>
      <c r="U24" s="26">
        <f>VLOOKUP(Mapping!$F24,_SSPC_90.1,4,FALSE)</f>
        <v>0.09</v>
      </c>
      <c r="V24" s="231">
        <f>VLOOKUP(Mapping!$I24,_ECB_CS,5,FALSE)</f>
        <v>0.08</v>
      </c>
      <c r="W24" s="135">
        <f>VLOOKUP(Mapping!$J24,_ACM05,6,FALSE)</f>
        <v>106</v>
      </c>
      <c r="X24" s="172">
        <f>VLOOKUP(Mapping!$I24,_ECB_CS,4,FALSE)</f>
        <v>300</v>
      </c>
      <c r="Y24" s="26">
        <f>VLOOKUP(Mapping!$H24,_CEUS,2,FALSE)</f>
        <v>0.12557077625570776</v>
      </c>
      <c r="Z24" s="26">
        <f>VLOOKUP(Mapping!$H24,_CEUS,3,FALSE)</f>
        <v>5.3652968036529677E-2</v>
      </c>
      <c r="AA24" s="11" t="s">
        <v>35</v>
      </c>
      <c r="AB24" s="176" t="s">
        <v>225</v>
      </c>
      <c r="AD24" s="194" t="str">
        <f t="shared" si="0"/>
        <v>A</v>
      </c>
      <c r="AE24" s="176" t="str">
        <f t="shared" si="1"/>
        <v>courthouse, office, post office, town hall</v>
      </c>
    </row>
    <row r="25" spans="1:36">
      <c r="A25" t="s">
        <v>249</v>
      </c>
      <c r="B25" s="26">
        <f>VLOOKUP(Mapping!$E25,_90_1_2001,2,FALSE)</f>
        <v>0.3</v>
      </c>
      <c r="C25" s="26">
        <f>VLOOKUP(Mapping!$D25,_90_1_2007,2,FALSE)</f>
        <v>0.3</v>
      </c>
      <c r="D25" s="26">
        <f>VLOOKUP(Mapping!$C25,_90_1_2010,2,FALSE)</f>
        <v>0.25</v>
      </c>
      <c r="E25" s="26" t="str">
        <f>VLOOKUP(Mapping!$C25,_90_1_2010,3,FALSE)</f>
        <v>n.a.</v>
      </c>
      <c r="F25" s="26">
        <f>VLOOKUP(Mapping!$B25,_90_1_2016BM,2,FALSE)</f>
        <v>0.3</v>
      </c>
      <c r="G25" s="134">
        <f>VLOOKUP(Mapping!$J25,_ACM05,5,FALSE)</f>
        <v>1</v>
      </c>
      <c r="H25" s="169" t="str">
        <f>VLOOKUP(Mapping!$B25,_90_1_2016BM,3,FALSE)</f>
        <v>n.a.</v>
      </c>
      <c r="I25" s="26" t="str">
        <f>VLOOKUP(Mapping!G25,_Plugs,13,FALSE)</f>
        <v>n.a.</v>
      </c>
      <c r="J25" s="231">
        <f>VLOOKUP(Mapping!$F25,_SSPC_90.1,3,FALSE)</f>
        <v>0</v>
      </c>
      <c r="K25" s="26" t="str">
        <f>VLOOKUP(Mapping!$G25,_Plugs,14,FALSE)</f>
        <v>n.a.</v>
      </c>
      <c r="L25" s="26" t="str">
        <f>VLOOKUP(Mapping!$G25,_Plugs,15,FALSE)</f>
        <v>n.a.</v>
      </c>
      <c r="M25" s="26" t="str">
        <f>VLOOKUP(Mapping!$G25,_Plugs,16,FALSE)</f>
        <v>n.a.</v>
      </c>
      <c r="N25" s="135">
        <f>1000/VLOOKUP(Mapping!$J25,_ACM05,2,FALSE)</f>
        <v>100</v>
      </c>
      <c r="O25" s="235" t="str">
        <f>VLOOKUP(Mapping!$I25,_ECB_CS,2,FALSE)</f>
        <v>Uncond.</v>
      </c>
      <c r="P25" s="235">
        <f>VLOOKUP(Mapping!$J25,_ACM05,3,FALSE)</f>
        <v>250</v>
      </c>
      <c r="Q25" s="235">
        <f>VLOOKUP(Mapping!$J25,_ACM05,4,FALSE)</f>
        <v>200</v>
      </c>
      <c r="R25" s="172">
        <f>VLOOKUP(Mapping!$F25,_SSPC_90.1,5,FALSE)</f>
        <v>0</v>
      </c>
      <c r="S25" s="172">
        <f>VLOOKUP(Mapping!$F25,_SSPC_90.1,6,FALSE)</f>
        <v>250</v>
      </c>
      <c r="T25" s="172">
        <f>VLOOKUP(Mapping!$F25,_SSPC_90.1,7,FALSE)</f>
        <v>200</v>
      </c>
      <c r="U25" s="26">
        <f>VLOOKUP(Mapping!$F25,_SSPC_90.1,4,FALSE)</f>
        <v>0</v>
      </c>
      <c r="V25" s="231">
        <f>VLOOKUP(Mapping!$I25,_ECB_CS,5,FALSE)</f>
        <v>0</v>
      </c>
      <c r="W25" s="135">
        <f>VLOOKUP(Mapping!$J25,_ACM05,6,FALSE)</f>
        <v>120</v>
      </c>
      <c r="X25" s="172">
        <f>VLOOKUP(Mapping!$I25,_ECB_CS,4,FALSE)</f>
        <v>0</v>
      </c>
      <c r="Y25" s="26">
        <f>VLOOKUP(Mapping!$H25,_CEUS,2,FALSE)</f>
        <v>0</v>
      </c>
      <c r="Z25" s="26">
        <f>VLOOKUP(Mapping!$H25,_CEUS,3,FALSE)</f>
        <v>3.1963470319634701E-2</v>
      </c>
      <c r="AA25" s="11" t="s">
        <v>68</v>
      </c>
      <c r="AB25" s="176" t="s">
        <v>250</v>
      </c>
      <c r="AD25" s="194" t="str">
        <f t="shared" si="0"/>
        <v>K</v>
      </c>
      <c r="AE25" s="176" t="str">
        <f t="shared" si="1"/>
        <v>Parking garage</v>
      </c>
    </row>
    <row r="26" spans="1:36">
      <c r="A26" t="s">
        <v>251</v>
      </c>
      <c r="B26" s="26">
        <f>VLOOKUP(Mapping!$E26,_90_1_2001,2,FALSE)</f>
        <v>1.2</v>
      </c>
      <c r="C26" s="26">
        <f>VLOOKUP(Mapping!$D26,_90_1_2007,2,FALSE)</f>
        <v>1</v>
      </c>
      <c r="D26" s="26">
        <f>VLOOKUP(Mapping!$C26,_90_1_2010,2,FALSE)</f>
        <v>0.97</v>
      </c>
      <c r="E26" s="26" t="str">
        <f>VLOOKUP(Mapping!$C26,_90_1_2010,3,FALSE)</f>
        <v>n.a.</v>
      </c>
      <c r="F26" s="26">
        <f>VLOOKUP(Mapping!$B26,_90_1_2016BM,2,FALSE)</f>
        <v>1</v>
      </c>
      <c r="G26" s="134">
        <f>VLOOKUP(Mapping!$J26,_ACM05,5,FALSE)</f>
        <v>0.5</v>
      </c>
      <c r="H26" s="169" t="str">
        <f>VLOOKUP(Mapping!$B26,_90_1_2016BM,3,FALSE)</f>
        <v>n.a.</v>
      </c>
      <c r="I26" s="26">
        <f>VLOOKUP(Mapping!G26,_Plugs,13,FALSE)</f>
        <v>1.4928322661656475</v>
      </c>
      <c r="J26" s="231">
        <f>VLOOKUP(Mapping!$F26,_SSPC_90.1,3,FALSE)</f>
        <v>0.5</v>
      </c>
      <c r="K26" s="26">
        <f>VLOOKUP(Mapping!$G26,_Plugs,14,FALSE)</f>
        <v>2</v>
      </c>
      <c r="L26" s="26">
        <f>VLOOKUP(Mapping!$G26,_Plugs,15,FALSE)</f>
        <v>1.1152416356877324</v>
      </c>
      <c r="M26" s="26">
        <f>VLOOKUP(Mapping!$G26,_Plugs,16,FALSE)</f>
        <v>1</v>
      </c>
      <c r="N26" s="135">
        <f>1000/VLOOKUP(Mapping!$J26,_ACM05,2,FALSE)</f>
        <v>200</v>
      </c>
      <c r="O26" s="235">
        <f>VLOOKUP(Mapping!$I26,_ECB_CS,2,FALSE)</f>
        <v>250</v>
      </c>
      <c r="P26" s="235">
        <f>VLOOKUP(Mapping!$J26,_ACM05,3,FALSE)</f>
        <v>245</v>
      </c>
      <c r="Q26" s="235">
        <f>VLOOKUP(Mapping!$J26,_ACM05,4,FALSE)</f>
        <v>155</v>
      </c>
      <c r="R26" s="172">
        <f>VLOOKUP(Mapping!$F26,_SSPC_90.1,5,FALSE)</f>
        <v>40</v>
      </c>
      <c r="S26" s="172">
        <f>VLOOKUP(Mapping!$F26,_SSPC_90.1,6,FALSE)</f>
        <v>250</v>
      </c>
      <c r="T26" s="172">
        <f>VLOOKUP(Mapping!$F26,_SSPC_90.1,7,FALSE)</f>
        <v>200</v>
      </c>
      <c r="U26" s="26">
        <f>VLOOKUP(Mapping!$F26,_SSPC_90.1,4,FALSE)</f>
        <v>0.25</v>
      </c>
      <c r="V26" s="231">
        <f>VLOOKUP(Mapping!$I26,_ECB_CS,5,FALSE)</f>
        <v>0.05</v>
      </c>
      <c r="W26" s="135">
        <f>VLOOKUP(Mapping!$J26,_ACM05,6,FALSE)</f>
        <v>2800</v>
      </c>
      <c r="X26" s="172">
        <f>VLOOKUP(Mapping!$I26,_ECB_CS,4,FALSE)</f>
        <v>1700</v>
      </c>
      <c r="Y26" s="26">
        <f>VLOOKUP(Mapping!$H26,_CEUS,2,FALSE)</f>
        <v>0.69634703196347048</v>
      </c>
      <c r="Z26" s="26">
        <f>VLOOKUP(Mapping!$H26,_CEUS,3,FALSE)</f>
        <v>0.10273972602739725</v>
      </c>
      <c r="AA26" s="11" t="s">
        <v>47</v>
      </c>
      <c r="AB26" s="176" t="s">
        <v>240</v>
      </c>
      <c r="AD26" s="194" t="str">
        <f t="shared" si="0"/>
        <v>D</v>
      </c>
      <c r="AE26" s="176" t="str">
        <f t="shared" si="1"/>
        <v>Hotel, motel, penitentiary</v>
      </c>
    </row>
    <row r="27" spans="1:36">
      <c r="A27" t="s">
        <v>252</v>
      </c>
      <c r="B27" s="26">
        <f>VLOOKUP(Mapping!$E27,_90_1_2001,2,FALSE)</f>
        <v>1.5</v>
      </c>
      <c r="C27" s="26">
        <f>VLOOKUP(Mapping!$D27,_90_1_2007,2,FALSE)</f>
        <v>1.6</v>
      </c>
      <c r="D27" s="26">
        <f>VLOOKUP(Mapping!$C27,_90_1_2010,2,FALSE)</f>
        <v>1.36</v>
      </c>
      <c r="E27" s="26" t="str">
        <f>VLOOKUP(Mapping!$C27,_90_1_2010,3,FALSE)</f>
        <v>n.a.</v>
      </c>
      <c r="F27" s="26">
        <f>VLOOKUP(Mapping!$B27,_90_1_2016BM,2,FALSE)</f>
        <v>1.6</v>
      </c>
      <c r="G27" s="134">
        <f>VLOOKUP(Mapping!$J27,_ACM05,5,FALSE)</f>
        <v>0.5</v>
      </c>
      <c r="H27" s="169" t="str">
        <f>VLOOKUP(Mapping!$B27,_90_1_2016BM,3,FALSE)</f>
        <v>n.a.</v>
      </c>
      <c r="I27" s="26">
        <f>VLOOKUP(Mapping!G27,_Plugs,13,FALSE)</f>
        <v>0.74485358050420625</v>
      </c>
      <c r="J27" s="231">
        <f>VLOOKUP(Mapping!$F27,_SSPC_90.1,3,FALSE)</f>
        <v>0.5</v>
      </c>
      <c r="K27" s="26">
        <f>VLOOKUP(Mapping!$G27,_Plugs,14,FALSE)</f>
        <v>2</v>
      </c>
      <c r="L27" s="26">
        <f>VLOOKUP(Mapping!$G27,_Plugs,15,FALSE)</f>
        <v>0.54832713754646845</v>
      </c>
      <c r="M27" s="26">
        <f>VLOOKUP(Mapping!$G27,_Plugs,16,FALSE)</f>
        <v>1</v>
      </c>
      <c r="N27" s="135">
        <f>1000/VLOOKUP(Mapping!$J27,_ACM05,2,FALSE)</f>
        <v>6.9930069930069934</v>
      </c>
      <c r="O27" s="235">
        <f>VLOOKUP(Mapping!$I27,_ECB_CS,2,FALSE)</f>
        <v>50</v>
      </c>
      <c r="P27" s="235">
        <f>VLOOKUP(Mapping!$J27,_ACM05,3,FALSE)</f>
        <v>245</v>
      </c>
      <c r="Q27" s="235">
        <f>VLOOKUP(Mapping!$J27,_ACM05,4,FALSE)</f>
        <v>105</v>
      </c>
      <c r="R27" s="172">
        <f>VLOOKUP(Mapping!$F27,_SSPC_90.1,5,FALSE)</f>
        <v>14</v>
      </c>
      <c r="S27" s="172">
        <f>VLOOKUP(Mapping!$F27,_SSPC_90.1,6,FALSE)</f>
        <v>225</v>
      </c>
      <c r="T27" s="172">
        <f>VLOOKUP(Mapping!$F27,_SSPC_90.1,7,FALSE)</f>
        <v>105</v>
      </c>
      <c r="U27" s="26">
        <f>VLOOKUP(Mapping!$F27,_SSPC_90.1,4,FALSE)</f>
        <v>0.76</v>
      </c>
      <c r="V27" s="231">
        <f>VLOOKUP(Mapping!$I27,_ECB_CS,5,FALSE)</f>
        <v>0.3</v>
      </c>
      <c r="W27" s="135">
        <f>VLOOKUP(Mapping!$J27,_ACM05,6,FALSE)</f>
        <v>60</v>
      </c>
      <c r="X27" s="172">
        <f>VLOOKUP(Mapping!$I27,_ECB_CS,4,FALSE)</f>
        <v>215</v>
      </c>
      <c r="Y27" s="26">
        <f>VLOOKUP(Mapping!$H27,_CEUS,2,FALSE)</f>
        <v>2.2831050228310501E-2</v>
      </c>
      <c r="Z27" s="26">
        <f>VLOOKUP(Mapping!$H27,_CEUS,3,FALSE)</f>
        <v>6.6210045662100453E-2</v>
      </c>
      <c r="AA27" s="11" t="s">
        <v>35</v>
      </c>
      <c r="AB27" s="176" t="s">
        <v>223</v>
      </c>
      <c r="AD27" s="194" t="str">
        <f t="shared" si="0"/>
        <v>H</v>
      </c>
      <c r="AE27" s="176" t="str">
        <f t="shared" si="1"/>
        <v>Convention center, exercise center, motion picture theature, performing arts theater, religious building, sports arena</v>
      </c>
    </row>
    <row r="28" spans="1:36">
      <c r="A28" t="s">
        <v>253</v>
      </c>
      <c r="B28" s="26">
        <f>VLOOKUP(Mapping!$E28,_90_1_2001,2,FALSE)</f>
        <v>1.3</v>
      </c>
      <c r="C28" s="26">
        <f>VLOOKUP(Mapping!$D28,_90_1_2007,2,FALSE)</f>
        <v>1</v>
      </c>
      <c r="D28" s="26">
        <f>VLOOKUP(Mapping!$C28,_90_1_2010,2,FALSE)</f>
        <v>0.96</v>
      </c>
      <c r="E28" s="26" t="str">
        <f>VLOOKUP(Mapping!$C28,_90_1_2010,3,FALSE)</f>
        <v>n.a.</v>
      </c>
      <c r="F28" s="26">
        <f>VLOOKUP(Mapping!$B28,_90_1_2016BM,2,FALSE)</f>
        <v>1</v>
      </c>
      <c r="G28" s="134">
        <f>VLOOKUP(Mapping!$J28,_ACM05,5,FALSE)</f>
        <v>1.5</v>
      </c>
      <c r="H28" s="169" t="str">
        <f>VLOOKUP(Mapping!$B28,_90_1_2016BM,3,FALSE)</f>
        <v>n.a.</v>
      </c>
      <c r="I28" s="26">
        <f>VLOOKUP(Mapping!G28,_Plugs,13,FALSE)</f>
        <v>1.5403580152290588</v>
      </c>
      <c r="J28" s="231">
        <f>VLOOKUP(Mapping!$F28,_SSPC_90.1,3,FALSE)</f>
        <v>1.5</v>
      </c>
      <c r="K28" s="26">
        <f>VLOOKUP(Mapping!$G28,_Plugs,14,FALSE)</f>
        <v>2</v>
      </c>
      <c r="L28" s="26">
        <f>VLOOKUP(Mapping!$G28,_Plugs,15,FALSE)</f>
        <v>1.1152416356877324</v>
      </c>
      <c r="M28" s="26">
        <f>VLOOKUP(Mapping!$G28,_Plugs,16,FALSE)</f>
        <v>1</v>
      </c>
      <c r="N28" s="135">
        <f>1000/VLOOKUP(Mapping!$J28,_ACM05,2,FALSE)</f>
        <v>100</v>
      </c>
      <c r="O28" s="235">
        <f>VLOOKUP(Mapping!$I28,_ECB_CS,2,FALSE)</f>
        <v>250</v>
      </c>
      <c r="P28" s="235">
        <f>VLOOKUP(Mapping!$J28,_ACM05,3,FALSE)</f>
        <v>250</v>
      </c>
      <c r="Q28" s="235">
        <f>VLOOKUP(Mapping!$J28,_ACM05,4,FALSE)</f>
        <v>200</v>
      </c>
      <c r="R28" s="172">
        <f>VLOOKUP(Mapping!$F28,_SSPC_90.1,5,FALSE)</f>
        <v>33</v>
      </c>
      <c r="S28" s="172">
        <f>VLOOKUP(Mapping!$F28,_SSPC_90.1,6,FALSE)</f>
        <v>250</v>
      </c>
      <c r="T28" s="172">
        <f>VLOOKUP(Mapping!$F28,_SSPC_90.1,7,FALSE)</f>
        <v>200</v>
      </c>
      <c r="U28" s="26">
        <f>VLOOKUP(Mapping!$F28,_SSPC_90.1,4,FALSE)</f>
        <v>0.21</v>
      </c>
      <c r="V28" s="231">
        <f>VLOOKUP(Mapping!$I28,_ECB_CS,5,FALSE)</f>
        <v>0.08</v>
      </c>
      <c r="W28" s="135">
        <f>VLOOKUP(Mapping!$J28,_ACM05,6,FALSE)</f>
        <v>120</v>
      </c>
      <c r="X28" s="172">
        <f>VLOOKUP(Mapping!$I28,_ECB_CS,4,FALSE)</f>
        <v>300</v>
      </c>
      <c r="Y28" s="26">
        <f>VLOOKUP(Mapping!$H28,_CEUS,2,FALSE)</f>
        <v>0.75342465753424659</v>
      </c>
      <c r="Z28" s="26">
        <f>VLOOKUP(Mapping!$H28,_CEUS,3,FALSE)</f>
        <v>9.8173515981735154E-2</v>
      </c>
      <c r="AA28" s="11" t="s">
        <v>35</v>
      </c>
      <c r="AB28" s="176" t="s">
        <v>234</v>
      </c>
      <c r="AD28" s="194" t="str">
        <f t="shared" si="0"/>
        <v>E</v>
      </c>
      <c r="AE28" s="176" t="str">
        <f t="shared" si="1"/>
        <v>Fire station, clinic, hospital, police station, transportation</v>
      </c>
    </row>
    <row r="29" spans="1:36">
      <c r="A29" t="s">
        <v>254</v>
      </c>
      <c r="B29" s="26">
        <f>VLOOKUP(Mapping!$E29,_90_1_2001,2,FALSE)</f>
        <v>1.6</v>
      </c>
      <c r="C29" s="26">
        <f>VLOOKUP(Mapping!$D29,_90_1_2007,2,FALSE)</f>
        <v>1.1000000000000001</v>
      </c>
      <c r="D29" s="26">
        <f>VLOOKUP(Mapping!$C29,_90_1_2010,2,FALSE)</f>
        <v>0.87</v>
      </c>
      <c r="E29" s="26" t="str">
        <f>VLOOKUP(Mapping!$C29,_90_1_2010,3,FALSE)</f>
        <v>n.a.</v>
      </c>
      <c r="F29" s="26">
        <f>VLOOKUP(Mapping!$B29,_90_1_2016BM,2,FALSE)</f>
        <v>1.1000000000000001</v>
      </c>
      <c r="G29" s="134">
        <f>VLOOKUP(Mapping!$J29,_ACM05,5,FALSE)</f>
        <v>1</v>
      </c>
      <c r="H29" s="169" t="str">
        <f>VLOOKUP(Mapping!$B29,_90_1_2016BM,3,FALSE)</f>
        <v>n.a.</v>
      </c>
      <c r="I29" s="26">
        <f>VLOOKUP(Mapping!G29,_Plugs,13,FALSE)</f>
        <v>0.90907201553445571</v>
      </c>
      <c r="J29" s="231">
        <f>VLOOKUP(Mapping!$F29,_SSPC_90.1,3,FALSE)</f>
        <v>1</v>
      </c>
      <c r="K29" s="26">
        <f>VLOOKUP(Mapping!$G29,_Plugs,14,FALSE)</f>
        <v>2</v>
      </c>
      <c r="L29" s="26">
        <f>VLOOKUP(Mapping!$G29,_Plugs,15,FALSE)</f>
        <v>0.54832713754646845</v>
      </c>
      <c r="M29" s="26">
        <f>VLOOKUP(Mapping!$G29,_Plugs,16,FALSE)</f>
        <v>1</v>
      </c>
      <c r="N29" s="135">
        <f>1000/VLOOKUP(Mapping!$J29,_ACM05,2,FALSE)</f>
        <v>100</v>
      </c>
      <c r="O29" s="235">
        <f>VLOOKUP(Mapping!$I29,_ECB_CS,2,FALSE)</f>
        <v>250</v>
      </c>
      <c r="P29" s="235">
        <f>VLOOKUP(Mapping!$J29,_ACM05,3,FALSE)</f>
        <v>275</v>
      </c>
      <c r="Q29" s="235">
        <f>VLOOKUP(Mapping!$J29,_ACM05,4,FALSE)</f>
        <v>475</v>
      </c>
      <c r="R29" s="172">
        <f>VLOOKUP(Mapping!$F29,_SSPC_90.1,5,FALSE)</f>
        <v>33</v>
      </c>
      <c r="S29" s="172">
        <f>VLOOKUP(Mapping!$F29,_SSPC_90.1,6,FALSE)</f>
        <v>250</v>
      </c>
      <c r="T29" s="172">
        <f>VLOOKUP(Mapping!$F29,_SSPC_90.1,7,FALSE)</f>
        <v>200</v>
      </c>
      <c r="U29" s="26">
        <f>VLOOKUP(Mapping!$F29,_SSPC_90.1,4,FALSE)</f>
        <v>0.21</v>
      </c>
      <c r="V29" s="231">
        <f>VLOOKUP(Mapping!$I29,_ECB_CS,5,FALSE)</f>
        <v>0.08</v>
      </c>
      <c r="W29" s="135">
        <f>VLOOKUP(Mapping!$J29,_ACM05,6,FALSE)</f>
        <v>120</v>
      </c>
      <c r="X29" s="172">
        <f>VLOOKUP(Mapping!$I29,_ECB_CS,4,FALSE)</f>
        <v>300</v>
      </c>
      <c r="Y29" s="26">
        <f>VLOOKUP(Mapping!$H29,_CEUS,2,FALSE)</f>
        <v>0.75342465753424659</v>
      </c>
      <c r="Z29" s="26">
        <f>VLOOKUP(Mapping!$H29,_CEUS,3,FALSE)</f>
        <v>9.8173515981735154E-2</v>
      </c>
      <c r="AA29" s="11" t="s">
        <v>35</v>
      </c>
      <c r="AB29" s="176" t="s">
        <v>225</v>
      </c>
      <c r="AD29" s="194" t="str">
        <f t="shared" si="0"/>
        <v>A</v>
      </c>
      <c r="AE29" s="176" t="str">
        <f t="shared" si="1"/>
        <v>courthouse, office, post office, town hall</v>
      </c>
    </row>
    <row r="30" spans="1:36">
      <c r="A30" t="s">
        <v>255</v>
      </c>
      <c r="B30" s="26">
        <f>VLOOKUP(Mapping!$E30,_90_1_2001,2,FALSE)</f>
        <v>2.2000000000000002</v>
      </c>
      <c r="C30" s="26">
        <f>VLOOKUP(Mapping!$D30,_90_1_2007,2,FALSE)</f>
        <v>1.3</v>
      </c>
      <c r="D30" s="26">
        <f>VLOOKUP(Mapping!$C30,_90_1_2010,2,FALSE)</f>
        <v>1.05</v>
      </c>
      <c r="E30" s="26" t="str">
        <f>VLOOKUP(Mapping!$C30,_90_1_2010,3,FALSE)</f>
        <v>n.a.</v>
      </c>
      <c r="F30" s="26">
        <f>VLOOKUP(Mapping!$B30,_90_1_2016BM,2,FALSE)</f>
        <v>1.3</v>
      </c>
      <c r="G30" s="134">
        <f>VLOOKUP(Mapping!$J30,_ACM05,5,FALSE)</f>
        <v>0.96</v>
      </c>
      <c r="H30" s="169" t="str">
        <f>VLOOKUP(Mapping!$B30,_90_1_2016BM,3,FALSE)</f>
        <v>n.a.</v>
      </c>
      <c r="I30" s="26">
        <f>VLOOKUP(Mapping!G30,_Plugs,13,FALSE)</f>
        <v>0.29844543263937018</v>
      </c>
      <c r="J30" s="231">
        <f>VLOOKUP(Mapping!$F30,_SSPC_90.1,3,FALSE)</f>
        <v>0.96</v>
      </c>
      <c r="K30" s="26">
        <f>VLOOKUP(Mapping!$G30,_Plugs,14,FALSE)</f>
        <v>2</v>
      </c>
      <c r="L30" s="26">
        <f>VLOOKUP(Mapping!$G30,_Plugs,15,FALSE)</f>
        <v>0.54832713754646845</v>
      </c>
      <c r="M30" s="26">
        <f>VLOOKUP(Mapping!$G30,_Plugs,16,FALSE)</f>
        <v>0.4</v>
      </c>
      <c r="N30" s="135">
        <f>1000/VLOOKUP(Mapping!$J30,_ACM05,2,FALSE)</f>
        <v>7.3529411764705879</v>
      </c>
      <c r="O30" s="235">
        <f>VLOOKUP(Mapping!$I30,_ECB_CS,2,FALSE)</f>
        <v>50</v>
      </c>
      <c r="P30" s="235">
        <f>VLOOKUP(Mapping!$J30,_ACM05,3,FALSE)</f>
        <v>245</v>
      </c>
      <c r="Q30" s="235">
        <f>VLOOKUP(Mapping!$J30,_ACM05,4,FALSE)</f>
        <v>112</v>
      </c>
      <c r="R30" s="172">
        <f>VLOOKUP(Mapping!$F30,_SSPC_90.1,5,FALSE)</f>
        <v>8</v>
      </c>
      <c r="S30" s="172">
        <f>VLOOKUP(Mapping!$F30,_SSPC_90.1,6,FALSE)</f>
        <v>245</v>
      </c>
      <c r="T30" s="172">
        <f>VLOOKUP(Mapping!$F30,_SSPC_90.1,7,FALSE)</f>
        <v>155</v>
      </c>
      <c r="U30" s="26">
        <f>VLOOKUP(Mapping!$F30,_SSPC_90.1,4,FALSE)</f>
        <v>0.66</v>
      </c>
      <c r="V30" s="231">
        <f>VLOOKUP(Mapping!$I30,_ECB_CS,5,FALSE)</f>
        <v>0.3</v>
      </c>
      <c r="W30" s="135">
        <f>VLOOKUP(Mapping!$J30,_ACM05,6,FALSE)</f>
        <v>57</v>
      </c>
      <c r="X30" s="172">
        <f>VLOOKUP(Mapping!$I30,_ECB_CS,4,FALSE)</f>
        <v>215</v>
      </c>
      <c r="Y30" s="26">
        <f>VLOOKUP(Mapping!$H30,_CEUS,2,FALSE)</f>
        <v>2.2831050228310501E-2</v>
      </c>
      <c r="Z30" s="26">
        <f>VLOOKUP(Mapping!$H30,_CEUS,3,FALSE)</f>
        <v>6.6210045662100453E-2</v>
      </c>
      <c r="AA30" s="11" t="s">
        <v>35</v>
      </c>
      <c r="AB30" s="176" t="s">
        <v>223</v>
      </c>
      <c r="AD30" s="194" t="str">
        <f t="shared" si="0"/>
        <v>H</v>
      </c>
      <c r="AE30" s="176" t="str">
        <f t="shared" si="1"/>
        <v>Convention center, exercise center, motion picture theature, performing arts theater, religious building, sports arena</v>
      </c>
    </row>
    <row r="31" spans="1:36">
      <c r="A31" t="s">
        <v>256</v>
      </c>
      <c r="B31" s="26">
        <f>VLOOKUP(Mapping!$E31,_90_1_2001,2,FALSE)</f>
        <v>1.9</v>
      </c>
      <c r="C31" s="26">
        <f>VLOOKUP(Mapping!$D31,_90_1_2007,2,FALSE)</f>
        <v>1.5</v>
      </c>
      <c r="D31" s="26">
        <f>VLOOKUP(Mapping!$C31,_90_1_2010,2,FALSE)</f>
        <v>1.4</v>
      </c>
      <c r="E31" s="26" t="str">
        <f>VLOOKUP(Mapping!$C31,_90_1_2010,3,FALSE)</f>
        <v>n.a.</v>
      </c>
      <c r="F31" s="26">
        <f>VLOOKUP(Mapping!$B31,_90_1_2016BM,2,FALSE)</f>
        <v>1.5</v>
      </c>
      <c r="G31" s="134">
        <f>VLOOKUP(Mapping!$J31,_ACM05,5,FALSE)</f>
        <v>1</v>
      </c>
      <c r="H31" s="169" t="str">
        <f>VLOOKUP(Mapping!$B31,_90_1_2016BM,3,FALSE)</f>
        <v>n.a.</v>
      </c>
      <c r="I31" s="26">
        <f>VLOOKUP(Mapping!G31,_Plugs,13,FALSE)</f>
        <v>0.70234930798269923</v>
      </c>
      <c r="J31" s="231">
        <f>VLOOKUP(Mapping!$F31,_SSPC_90.1,3,FALSE)</f>
        <v>0.3</v>
      </c>
      <c r="K31" s="26">
        <f>VLOOKUP(Mapping!$G31,_Plugs,14,FALSE)</f>
        <v>2</v>
      </c>
      <c r="L31" s="26">
        <f>VLOOKUP(Mapping!$G31,_Plugs,15,FALSE)</f>
        <v>0.34386617100371747</v>
      </c>
      <c r="M31" s="26">
        <f>VLOOKUP(Mapping!$G31,_Plugs,16,FALSE)</f>
        <v>1</v>
      </c>
      <c r="N31" s="135">
        <f>1000/VLOOKUP(Mapping!$J31,_ACM05,2,FALSE)</f>
        <v>30.303030303030305</v>
      </c>
      <c r="O31" s="235">
        <f>VLOOKUP(Mapping!$I31,_ECB_CS,2,FALSE)</f>
        <v>300</v>
      </c>
      <c r="P31" s="235">
        <f>VLOOKUP(Mapping!$J31,_ACM05,3,FALSE)</f>
        <v>250</v>
      </c>
      <c r="Q31" s="235">
        <f>VLOOKUP(Mapping!$J31,_ACM05,4,FALSE)</f>
        <v>200</v>
      </c>
      <c r="R31" s="172">
        <f>VLOOKUP(Mapping!$F31,_SSPC_90.1,5,FALSE)</f>
        <v>67</v>
      </c>
      <c r="S31" s="172">
        <f>VLOOKUP(Mapping!$F31,_SSPC_90.1,6,FALSE)</f>
        <v>250</v>
      </c>
      <c r="T31" s="172">
        <f>VLOOKUP(Mapping!$F31,_SSPC_90.1,7,FALSE)</f>
        <v>200</v>
      </c>
      <c r="U31" s="26">
        <f>VLOOKUP(Mapping!$F31,_SSPC_90.1,4,FALSE)</f>
        <v>0.23</v>
      </c>
      <c r="V31" s="231">
        <f>VLOOKUP(Mapping!$I31,_ECB_CS,5,FALSE)</f>
        <v>0.2</v>
      </c>
      <c r="W31" s="135">
        <f>VLOOKUP(Mapping!$J31,_ACM05,6,FALSE)</f>
        <v>120</v>
      </c>
      <c r="X31" s="172">
        <f>VLOOKUP(Mapping!$I31,_ECB_CS,4,FALSE)</f>
        <v>135</v>
      </c>
      <c r="Y31" s="26">
        <f>VLOOKUP(Mapping!$H31,_CEUS,2,FALSE)</f>
        <v>9.1324200913242004E-2</v>
      </c>
      <c r="Z31" s="26">
        <f>VLOOKUP(Mapping!$H31,_CEUS,3,FALSE)</f>
        <v>0.11757990867579908</v>
      </c>
      <c r="AA31" s="11" t="s">
        <v>68</v>
      </c>
      <c r="AB31" s="176" t="s">
        <v>242</v>
      </c>
      <c r="AD31" s="194" t="str">
        <f t="shared" si="0"/>
        <v>C</v>
      </c>
      <c r="AE31" s="176" t="str">
        <f t="shared" si="1"/>
        <v>Library, museum, retail</v>
      </c>
    </row>
    <row r="32" spans="1:36">
      <c r="A32" t="s">
        <v>257</v>
      </c>
      <c r="B32" s="26">
        <f>VLOOKUP(Mapping!$E32,_90_1_2001,2,FALSE)</f>
        <v>1.5</v>
      </c>
      <c r="C32" s="26">
        <f>VLOOKUP(Mapping!$D32,_90_1_2007,2,FALSE)</f>
        <v>1.2</v>
      </c>
      <c r="D32" s="26">
        <f>VLOOKUP(Mapping!$C32,_90_1_2010,2,FALSE)</f>
        <v>0.99</v>
      </c>
      <c r="E32" s="26" t="str">
        <f>VLOOKUP(Mapping!$C32,_90_1_2010,3,FALSE)</f>
        <v>n.a.</v>
      </c>
      <c r="F32" s="26">
        <f>VLOOKUP(Mapping!$B32,_90_1_2016BM,2,FALSE)</f>
        <v>1.2</v>
      </c>
      <c r="G32" s="134">
        <f>VLOOKUP(Mapping!$J32,_ACM05,5,FALSE)</f>
        <v>1</v>
      </c>
      <c r="H32" s="169" t="str">
        <f>VLOOKUP(Mapping!$B32,_90_1_2016BM,3,FALSE)</f>
        <v>n.a.</v>
      </c>
      <c r="I32" s="26">
        <f>VLOOKUP(Mapping!G32,_Plugs,13,FALSE)</f>
        <v>0.68748419285970452</v>
      </c>
      <c r="J32" s="231">
        <f>VLOOKUP(Mapping!$F32,_SSPC_90.1,3,FALSE)</f>
        <v>1.39</v>
      </c>
      <c r="K32" s="26">
        <f>VLOOKUP(Mapping!$G32,_Plugs,14,FALSE)</f>
        <v>2</v>
      </c>
      <c r="L32" s="26">
        <f>VLOOKUP(Mapping!$G32,_Plugs,15,FALSE)</f>
        <v>0.14869888475836432</v>
      </c>
      <c r="M32" s="26">
        <f>VLOOKUP(Mapping!$G32,_Plugs,16,FALSE)</f>
        <v>1</v>
      </c>
      <c r="N32" s="135">
        <f>1000/VLOOKUP(Mapping!$J32,_ACM05,2,FALSE)</f>
        <v>25</v>
      </c>
      <c r="O32" s="235">
        <f>VLOOKUP(Mapping!$I32,_ECB_CS,2,FALSE)</f>
        <v>75</v>
      </c>
      <c r="P32" s="235">
        <f>VLOOKUP(Mapping!$J32,_ACM05,3,FALSE)</f>
        <v>246</v>
      </c>
      <c r="Q32" s="235">
        <f>VLOOKUP(Mapping!$J32,_ACM05,4,FALSE)</f>
        <v>171</v>
      </c>
      <c r="R32" s="172">
        <f>VLOOKUP(Mapping!$F32,_SSPC_90.1,5,FALSE)</f>
        <v>40</v>
      </c>
      <c r="S32" s="172">
        <f>VLOOKUP(Mapping!$F32,_SSPC_90.1,6,FALSE)</f>
        <v>250</v>
      </c>
      <c r="T32" s="172">
        <f>VLOOKUP(Mapping!$F32,_SSPC_90.1,7,FALSE)</f>
        <v>200</v>
      </c>
      <c r="U32" s="26">
        <f>VLOOKUP(Mapping!$F32,_SSPC_90.1,4,FALSE)</f>
        <v>0.47</v>
      </c>
      <c r="V32" s="231">
        <f>VLOOKUP(Mapping!$I32,_ECB_CS,5,FALSE)</f>
        <v>0.2</v>
      </c>
      <c r="W32" s="135">
        <f>VLOOKUP(Mapping!$J32,_ACM05,6,FALSE)</f>
        <v>108</v>
      </c>
      <c r="X32" s="172">
        <f>VLOOKUP(Mapping!$I32,_ECB_CS,4,FALSE)</f>
        <v>215</v>
      </c>
      <c r="Y32" s="26">
        <f>VLOOKUP(Mapping!$H32,_CEUS,2,FALSE)</f>
        <v>0.13698630136986303</v>
      </c>
      <c r="Z32" s="26">
        <f>VLOOKUP(Mapping!$H32,_CEUS,3,FALSE)</f>
        <v>5.7077625570776253E-2</v>
      </c>
      <c r="AA32" s="11" t="s">
        <v>35</v>
      </c>
      <c r="AB32" s="176" t="s">
        <v>258</v>
      </c>
      <c r="AD32" s="194" t="str">
        <f t="shared" si="0"/>
        <v>G</v>
      </c>
      <c r="AE32" s="176" t="str">
        <f t="shared" si="1"/>
        <v>K-12 schools, universities</v>
      </c>
    </row>
    <row r="33" spans="1:31">
      <c r="A33" t="s">
        <v>259</v>
      </c>
      <c r="B33" s="26">
        <f>VLOOKUP(Mapping!$E33,_90_1_2001,2,FALSE)</f>
        <v>1.5</v>
      </c>
      <c r="C33" s="26">
        <f>VLOOKUP(Mapping!$D33,_90_1_2007,2,FALSE)</f>
        <v>1.1000000000000001</v>
      </c>
      <c r="D33" s="26">
        <f>VLOOKUP(Mapping!$C33,_90_1_2010,2,FALSE)</f>
        <v>0.78</v>
      </c>
      <c r="E33" s="26" t="str">
        <f>VLOOKUP(Mapping!$C33,_90_1_2010,3,FALSE)</f>
        <v>n.a.</v>
      </c>
      <c r="F33" s="26">
        <f>VLOOKUP(Mapping!$B33,_90_1_2016BM,2,FALSE)</f>
        <v>1.1000000000000001</v>
      </c>
      <c r="G33" s="134">
        <f>VLOOKUP(Mapping!$J33,_ACM05,5,FALSE)</f>
        <v>1</v>
      </c>
      <c r="H33" s="169" t="str">
        <f>VLOOKUP(Mapping!$B33,_90_1_2016BM,3,FALSE)</f>
        <v>n.a.</v>
      </c>
      <c r="I33" s="26">
        <f>VLOOKUP(Mapping!G33,_Plugs,13,FALSE)</f>
        <v>0.74760799257268662</v>
      </c>
      <c r="J33" s="231">
        <f>VLOOKUP(Mapping!$F33,_SSPC_90.1,3,FALSE)</f>
        <v>1</v>
      </c>
      <c r="K33" s="26">
        <f>VLOOKUP(Mapping!$G33,_Plugs,14,FALSE)</f>
        <v>2</v>
      </c>
      <c r="L33" s="26">
        <f>VLOOKUP(Mapping!$G33,_Plugs,15,FALSE)</f>
        <v>0.54832713754646845</v>
      </c>
      <c r="M33" s="26">
        <f>VLOOKUP(Mapping!$G33,_Plugs,16,FALSE)</f>
        <v>1</v>
      </c>
      <c r="N33" s="135">
        <f>1000/VLOOKUP(Mapping!$J33,_ACM05,2,FALSE)</f>
        <v>6.9930069930069934</v>
      </c>
      <c r="O33" s="235">
        <f>VLOOKUP(Mapping!$I33,_ECB_CS,2,FALSE)</f>
        <v>50</v>
      </c>
      <c r="P33" s="235">
        <f>VLOOKUP(Mapping!$J33,_ACM05,3,FALSE)</f>
        <v>245</v>
      </c>
      <c r="Q33" s="235">
        <f>VLOOKUP(Mapping!$J33,_ACM05,4,FALSE)</f>
        <v>105</v>
      </c>
      <c r="R33" s="172">
        <f>VLOOKUP(Mapping!$F33,_SSPC_90.1,5,FALSE)</f>
        <v>0</v>
      </c>
      <c r="S33" s="172">
        <f>VLOOKUP(Mapping!$F33,_SSPC_90.1,6,FALSE)</f>
        <v>245</v>
      </c>
      <c r="T33" s="172">
        <f>VLOOKUP(Mapping!$F33,_SSPC_90.1,7,FALSE)</f>
        <v>105</v>
      </c>
      <c r="U33" s="26">
        <f>VLOOKUP(Mapping!$F33,_SSPC_90.1,4,FALSE)</f>
        <v>0.3</v>
      </c>
      <c r="V33" s="231">
        <f>VLOOKUP(Mapping!$I33,_ECB_CS,5,FALSE)</f>
        <v>0.3</v>
      </c>
      <c r="W33" s="135">
        <f>VLOOKUP(Mapping!$J33,_ACM05,6,FALSE)</f>
        <v>60</v>
      </c>
      <c r="X33" s="172">
        <f>VLOOKUP(Mapping!$I33,_ECB_CS,4,FALSE)</f>
        <v>215</v>
      </c>
      <c r="Y33" s="26">
        <f>VLOOKUP(Mapping!$H33,_CEUS,2,FALSE)</f>
        <v>2.2831050228310501E-2</v>
      </c>
      <c r="Z33" s="26">
        <f>VLOOKUP(Mapping!$H33,_CEUS,3,FALSE)</f>
        <v>6.6210045662100453E-2</v>
      </c>
      <c r="AA33" s="11" t="s">
        <v>35</v>
      </c>
      <c r="AB33" s="176" t="s">
        <v>223</v>
      </c>
      <c r="AD33" s="194" t="str">
        <f t="shared" si="0"/>
        <v>H</v>
      </c>
      <c r="AE33" s="176" t="str">
        <f t="shared" si="1"/>
        <v>Convention center, exercise center, motion picture theature, performing arts theater, religious building, sports arena</v>
      </c>
    </row>
    <row r="34" spans="1:31">
      <c r="A34" t="s">
        <v>260</v>
      </c>
      <c r="B34" s="26">
        <f>VLOOKUP(Mapping!$E34,_90_1_2001,2,FALSE)</f>
        <v>1.4</v>
      </c>
      <c r="C34" s="26">
        <f>VLOOKUP(Mapping!$D34,_90_1_2007,2,FALSE)</f>
        <v>1.1000000000000001</v>
      </c>
      <c r="D34" s="26">
        <f>VLOOKUP(Mapping!$C34,_90_1_2010,2,FALSE)</f>
        <v>0.92</v>
      </c>
      <c r="E34" s="26" t="str">
        <f>VLOOKUP(Mapping!$C34,_90_1_2010,3,FALSE)</f>
        <v>n.a.</v>
      </c>
      <c r="F34" s="26">
        <f>VLOOKUP(Mapping!$B34,_90_1_2016BM,2,FALSE)</f>
        <v>1.1000000000000001</v>
      </c>
      <c r="G34" s="134">
        <f>VLOOKUP(Mapping!$J34,_ACM05,5,FALSE)</f>
        <v>1.34</v>
      </c>
      <c r="H34" s="169" t="str">
        <f>VLOOKUP(Mapping!$B34,_90_1_2016BM,3,FALSE)</f>
        <v>n.a.</v>
      </c>
      <c r="I34" s="26">
        <f>VLOOKUP(Mapping!G34,_Plugs,13,FALSE)</f>
        <v>0.74760799257268662</v>
      </c>
      <c r="J34" s="231">
        <f>VLOOKUP(Mapping!$F34,_SSPC_90.1,3,FALSE)</f>
        <v>1</v>
      </c>
      <c r="K34" s="26">
        <f>VLOOKUP(Mapping!$G34,_Plugs,14,FALSE)</f>
        <v>2</v>
      </c>
      <c r="L34" s="26">
        <f>VLOOKUP(Mapping!$G34,_Plugs,15,FALSE)</f>
        <v>0.54832713754646845</v>
      </c>
      <c r="M34" s="26">
        <f>VLOOKUP(Mapping!$G34,_Plugs,16,FALSE)</f>
        <v>1</v>
      </c>
      <c r="N34" s="135">
        <f>1000/VLOOKUP(Mapping!$J34,_ACM05,2,FALSE)</f>
        <v>100</v>
      </c>
      <c r="O34" s="235">
        <f>VLOOKUP(Mapping!$I34,_ECB_CS,2,FALSE)</f>
        <v>50</v>
      </c>
      <c r="P34" s="235">
        <f>VLOOKUP(Mapping!$J34,_ACM05,3,FALSE)</f>
        <v>250</v>
      </c>
      <c r="Q34" s="235">
        <f>VLOOKUP(Mapping!$J34,_ACM05,4,FALSE)</f>
        <v>206</v>
      </c>
      <c r="R34" s="172">
        <f>VLOOKUP(Mapping!$F34,_SSPC_90.1,5,FALSE)</f>
        <v>200</v>
      </c>
      <c r="S34" s="172">
        <f>VLOOKUP(Mapping!$F34,_SSPC_90.1,6,FALSE)</f>
        <v>250</v>
      </c>
      <c r="T34" s="172">
        <f>VLOOKUP(Mapping!$F34,_SSPC_90.1,7,FALSE)</f>
        <v>200</v>
      </c>
      <c r="U34" s="26">
        <f>VLOOKUP(Mapping!$F34,_SSPC_90.1,4,FALSE)</f>
        <v>0.09</v>
      </c>
      <c r="V34" s="231">
        <f>VLOOKUP(Mapping!$I34,_ECB_CS,5,FALSE)</f>
        <v>0.3</v>
      </c>
      <c r="W34" s="135">
        <f>VLOOKUP(Mapping!$J34,_ACM05,6,FALSE)</f>
        <v>106</v>
      </c>
      <c r="X34" s="172">
        <f>VLOOKUP(Mapping!$I34,_ECB_CS,4,FALSE)</f>
        <v>215</v>
      </c>
      <c r="Y34" s="26">
        <f>VLOOKUP(Mapping!$H34,_CEUS,2,FALSE)</f>
        <v>0.12557077625570776</v>
      </c>
      <c r="Z34" s="26">
        <f>VLOOKUP(Mapping!$H34,_CEUS,3,FALSE)</f>
        <v>5.3652968036529677E-2</v>
      </c>
      <c r="AA34" s="11" t="s">
        <v>35</v>
      </c>
      <c r="AB34" s="176" t="s">
        <v>234</v>
      </c>
      <c r="AD34" s="194" t="str">
        <f t="shared" si="0"/>
        <v>E</v>
      </c>
      <c r="AE34" s="176" t="str">
        <f t="shared" si="1"/>
        <v>Fire station, clinic, hospital, police station, transportation</v>
      </c>
    </row>
    <row r="35" spans="1:31">
      <c r="A35" t="s">
        <v>261</v>
      </c>
      <c r="B35" s="26">
        <f>VLOOKUP(Mapping!$E35,_90_1_2001,2,FALSE)</f>
        <v>1.2</v>
      </c>
      <c r="C35" s="26">
        <f>VLOOKUP(Mapping!$D35,_90_1_2007,2,FALSE)</f>
        <v>1</v>
      </c>
      <c r="D35" s="26">
        <f>VLOOKUP(Mapping!$C35,_90_1_2010,2,FALSE)</f>
        <v>0.77</v>
      </c>
      <c r="E35" s="26" t="str">
        <f>VLOOKUP(Mapping!$C35,_90_1_2010,3,FALSE)</f>
        <v>n.a.</v>
      </c>
      <c r="F35" s="26">
        <f>VLOOKUP(Mapping!$B35,_90_1_2016BM,2,FALSE)</f>
        <v>1</v>
      </c>
      <c r="G35" s="134">
        <f>VLOOKUP(Mapping!$J35,_ACM05,5,FALSE)</f>
        <v>0.5</v>
      </c>
      <c r="H35" s="169" t="str">
        <f>VLOOKUP(Mapping!$B35,_90_1_2016BM,3,FALSE)</f>
        <v>n.a.</v>
      </c>
      <c r="I35" s="26">
        <f>VLOOKUP(Mapping!G35,_Plugs,13,FALSE)</f>
        <v>0.51912260356910667</v>
      </c>
      <c r="J35" s="231">
        <f>VLOOKUP(Mapping!$F35,_SSPC_90.1,3,FALSE)</f>
        <v>0.5</v>
      </c>
      <c r="K35" s="26">
        <f>VLOOKUP(Mapping!$G35,_Plugs,14,FALSE)</f>
        <v>2</v>
      </c>
      <c r="L35" s="26">
        <f>VLOOKUP(Mapping!$G35,_Plugs,15,FALSE)</f>
        <v>0.54832713754646845</v>
      </c>
      <c r="M35" s="26">
        <f>VLOOKUP(Mapping!$G35,_Plugs,16,FALSE)</f>
        <v>1</v>
      </c>
      <c r="N35" s="135">
        <f>1000/VLOOKUP(Mapping!$J35,_ACM05,2,FALSE)</f>
        <v>30.303030303030305</v>
      </c>
      <c r="O35" s="235">
        <f>VLOOKUP(Mapping!$I35,_ECB_CS,2,FALSE)</f>
        <v>200</v>
      </c>
      <c r="P35" s="235">
        <f>VLOOKUP(Mapping!$J35,_ACM05,3,FALSE)</f>
        <v>250</v>
      </c>
      <c r="Q35" s="235">
        <f>VLOOKUP(Mapping!$J35,_ACM05,4,FALSE)</f>
        <v>250</v>
      </c>
      <c r="R35" s="172">
        <f>VLOOKUP(Mapping!$F35,_SSPC_90.1,5,FALSE)</f>
        <v>10</v>
      </c>
      <c r="S35" s="172">
        <f>VLOOKUP(Mapping!$F35,_SSPC_90.1,6,FALSE)</f>
        <v>225</v>
      </c>
      <c r="T35" s="172">
        <f>VLOOKUP(Mapping!$F35,_SSPC_90.1,7,FALSE)</f>
        <v>105</v>
      </c>
      <c r="U35" s="26">
        <f>VLOOKUP(Mapping!$F35,_SSPC_90.1,4,FALSE)</f>
        <v>0.81</v>
      </c>
      <c r="V35" s="231">
        <f>VLOOKUP(Mapping!$I35,_ECB_CS,5,FALSE)</f>
        <v>0.1</v>
      </c>
      <c r="W35" s="135">
        <f>VLOOKUP(Mapping!$J35,_ACM05,6,FALSE)</f>
        <v>120</v>
      </c>
      <c r="X35" s="172">
        <f>VLOOKUP(Mapping!$I35,_ECB_CS,4,FALSE)</f>
        <v>215</v>
      </c>
      <c r="Y35" s="26">
        <f>VLOOKUP(Mapping!$H35,_CEUS,2,FALSE)</f>
        <v>2.2831050228310501E-2</v>
      </c>
      <c r="Z35" s="26">
        <f>VLOOKUP(Mapping!$H35,_CEUS,3,FALSE)</f>
        <v>6.6210045662100453E-2</v>
      </c>
      <c r="AA35" s="11" t="s">
        <v>35</v>
      </c>
      <c r="AB35" s="176" t="s">
        <v>234</v>
      </c>
      <c r="AD35" s="194" t="str">
        <f t="shared" si="0"/>
        <v>E</v>
      </c>
      <c r="AE35" s="176" t="str">
        <f t="shared" si="1"/>
        <v>Fire station, clinic, hospital, police station, transportation</v>
      </c>
    </row>
    <row r="36" spans="1:31">
      <c r="A36" t="s">
        <v>262</v>
      </c>
      <c r="B36" s="26">
        <f>VLOOKUP(Mapping!$E36,_90_1_2001,2,FALSE)</f>
        <v>1.2</v>
      </c>
      <c r="C36" s="26">
        <f>VLOOKUP(Mapping!$D36,_90_1_2007,2,FALSE)</f>
        <v>0.8</v>
      </c>
      <c r="D36" s="26">
        <f>VLOOKUP(Mapping!$C36,_90_1_2010,2,FALSE)</f>
        <v>0.66</v>
      </c>
      <c r="E36" s="26" t="str">
        <f>VLOOKUP(Mapping!$C36,_90_1_2010,3,FALSE)</f>
        <v>n.a.</v>
      </c>
      <c r="F36" s="26">
        <f>VLOOKUP(Mapping!$B36,_90_1_2016BM,2,FALSE)</f>
        <v>0.8</v>
      </c>
      <c r="G36" s="134">
        <f>VLOOKUP(Mapping!$J36,_ACM05,5,FALSE)</f>
        <v>0.2</v>
      </c>
      <c r="H36" s="169" t="str">
        <f>VLOOKUP(Mapping!$B36,_90_1_2016BM,3,FALSE)</f>
        <v>n.a.</v>
      </c>
      <c r="I36" s="26">
        <f>VLOOKUP(Mapping!G36,_Plugs,13,FALSE)</f>
        <v>0.30230662613081127</v>
      </c>
      <c r="J36" s="231">
        <f>VLOOKUP(Mapping!$F36,_SSPC_90.1,3,FALSE)</f>
        <v>0.24</v>
      </c>
      <c r="K36" s="26">
        <f>VLOOKUP(Mapping!$G36,_Plugs,14,FALSE)</f>
        <v>2</v>
      </c>
      <c r="L36" s="26">
        <f>VLOOKUP(Mapping!$G36,_Plugs,15,FALSE)</f>
        <v>0.18587360594795541</v>
      </c>
      <c r="M36" s="26">
        <f>VLOOKUP(Mapping!$G36,_Plugs,16,FALSE)</f>
        <v>1</v>
      </c>
      <c r="N36" s="135">
        <f>1000/VLOOKUP(Mapping!$J36,_ACM05,2,FALSE)</f>
        <v>333.33333333333331</v>
      </c>
      <c r="O36" s="235">
        <f>VLOOKUP(Mapping!$I36,_ECB_CS,2,FALSE)</f>
        <v>15000</v>
      </c>
      <c r="P36" s="235">
        <f>VLOOKUP(Mapping!$J36,_ACM05,3,FALSE)</f>
        <v>275</v>
      </c>
      <c r="Q36" s="235">
        <f>VLOOKUP(Mapping!$J36,_ACM05,4,FALSE)</f>
        <v>475</v>
      </c>
      <c r="R36" s="172">
        <f>VLOOKUP(Mapping!$F36,_SSPC_90.1,5,FALSE)</f>
        <v>0</v>
      </c>
      <c r="S36" s="172">
        <f>VLOOKUP(Mapping!$F36,_SSPC_90.1,6,FALSE)</f>
        <v>275</v>
      </c>
      <c r="T36" s="172">
        <f>VLOOKUP(Mapping!$F36,_SSPC_90.1,7,FALSE)</f>
        <v>475</v>
      </c>
      <c r="U36" s="26">
        <f>VLOOKUP(Mapping!$F36,_SSPC_90.1,4,FALSE)</f>
        <v>0.06</v>
      </c>
      <c r="V36" s="231">
        <f>VLOOKUP(Mapping!$I36,_ECB_CS,5,FALSE)</f>
        <v>0.2</v>
      </c>
      <c r="W36" s="135">
        <f>VLOOKUP(Mapping!$J36,_ACM05,6,FALSE)</f>
        <v>120</v>
      </c>
      <c r="X36" s="172">
        <f>VLOOKUP(Mapping!$I36,_ECB_CS,4,FALSE)</f>
        <v>1000</v>
      </c>
      <c r="Y36" s="26">
        <f>VLOOKUP(Mapping!$H36,_CEUS,2,FALSE)</f>
        <v>0</v>
      </c>
      <c r="Z36" s="26">
        <f>VLOOKUP(Mapping!$H36,_CEUS,3,FALSE)</f>
        <v>3.1963470319634701E-2</v>
      </c>
      <c r="AA36" s="11" t="s">
        <v>35</v>
      </c>
      <c r="AB36" s="176" t="s">
        <v>263</v>
      </c>
      <c r="AD36" s="194" t="str">
        <f t="shared" si="0"/>
        <v>L</v>
      </c>
      <c r="AE36" s="176" t="str">
        <f t="shared" si="1"/>
        <v>Warehouse</v>
      </c>
    </row>
    <row r="37" spans="1:31">
      <c r="A37" t="s">
        <v>264</v>
      </c>
      <c r="B37" s="26">
        <f>VLOOKUP(Mapping!$E37,_90_1_2001,2,FALSE)</f>
        <v>1.7</v>
      </c>
      <c r="C37" s="26">
        <f>VLOOKUP(Mapping!$D37,_90_1_2007,2,FALSE)</f>
        <v>1.4</v>
      </c>
      <c r="D37" s="26">
        <f>VLOOKUP(Mapping!$C37,_90_1_2010,2,FALSE)</f>
        <v>1.2</v>
      </c>
      <c r="E37" s="26" t="str">
        <f>VLOOKUP(Mapping!$C37,_90_1_2010,3,FALSE)</f>
        <v>n.a.</v>
      </c>
      <c r="F37" s="26">
        <f>VLOOKUP(Mapping!$B37,_90_1_2016BM,2,FALSE)</f>
        <v>1.4</v>
      </c>
      <c r="G37" s="134">
        <f>VLOOKUP(Mapping!$J37,_ACM05,5,FALSE)</f>
        <v>1</v>
      </c>
      <c r="H37" s="169" t="str">
        <f>VLOOKUP(Mapping!$B37,_90_1_2016BM,3,FALSE)</f>
        <v>n.a.</v>
      </c>
      <c r="I37" s="26">
        <f>VLOOKUP(Mapping!G37,_Plugs,13,FALSE)</f>
        <v>0.42833678057910263</v>
      </c>
      <c r="J37" s="231">
        <f>VLOOKUP(Mapping!$F37,_SSPC_90.1,3,FALSE)</f>
        <v>1</v>
      </c>
      <c r="K37" s="26">
        <f>VLOOKUP(Mapping!$G37,_Plugs,14,FALSE)</f>
        <v>2</v>
      </c>
      <c r="L37" s="26">
        <f>VLOOKUP(Mapping!$G37,_Plugs,15,FALSE)</f>
        <v>0.54832713754646845</v>
      </c>
      <c r="M37" s="26">
        <f>VLOOKUP(Mapping!$G37,_Plugs,16,FALSE)</f>
        <v>1</v>
      </c>
      <c r="N37" s="135">
        <f>1000/VLOOKUP(Mapping!$J37,_ACM05,2,FALSE)</f>
        <v>142.85714285714286</v>
      </c>
      <c r="O37" s="235">
        <f>VLOOKUP(Mapping!$I37,_ECB_CS,2,FALSE)</f>
        <v>750</v>
      </c>
      <c r="P37" s="235">
        <f>VLOOKUP(Mapping!$J37,_ACM05,3,FALSE)</f>
        <v>375</v>
      </c>
      <c r="Q37" s="235">
        <f>VLOOKUP(Mapping!$J37,_ACM05,4,FALSE)</f>
        <v>625</v>
      </c>
      <c r="R37" s="172">
        <f>VLOOKUP(Mapping!$F37,_SSPC_90.1,5,FALSE)</f>
        <v>143</v>
      </c>
      <c r="S37" s="172">
        <f>VLOOKUP(Mapping!$F37,_SSPC_90.1,6,FALSE)</f>
        <v>635</v>
      </c>
      <c r="T37" s="172">
        <f>VLOOKUP(Mapping!$F37,_SSPC_90.1,7,FALSE)</f>
        <v>965</v>
      </c>
      <c r="U37" s="26">
        <f>VLOOKUP(Mapping!$F37,_SSPC_90.1,4,FALSE)</f>
        <v>0.25</v>
      </c>
      <c r="V37" s="231">
        <f>VLOOKUP(Mapping!$I37,_ECB_CS,5,FALSE)</f>
        <v>0.45</v>
      </c>
      <c r="W37" s="135">
        <f>VLOOKUP(Mapping!$J37,_ACM05,6,FALSE)</f>
        <v>120</v>
      </c>
      <c r="X37" s="172">
        <f>VLOOKUP(Mapping!$I37,_ECB_CS,4,FALSE)</f>
        <v>225</v>
      </c>
      <c r="Y37" s="26">
        <f>VLOOKUP(Mapping!$H37,_CEUS,2,FALSE)</f>
        <v>0.75342465753424659</v>
      </c>
      <c r="Z37" s="26">
        <f>VLOOKUP(Mapping!$H37,_CEUS,3,FALSE)</f>
        <v>9.8173515981735154E-2</v>
      </c>
      <c r="AA37" s="11" t="s">
        <v>35</v>
      </c>
      <c r="AB37" s="176" t="s">
        <v>221</v>
      </c>
      <c r="AD37" s="194" t="str">
        <f t="shared" si="0"/>
        <v>J</v>
      </c>
      <c r="AE37" s="176" t="str">
        <f t="shared" si="1"/>
        <v>Automotive facility, workshop, manufacturing facility</v>
      </c>
    </row>
    <row r="38" spans="1:31" s="20" customFormat="1">
      <c r="A38" s="17" t="s">
        <v>85</v>
      </c>
      <c r="B38" s="18"/>
      <c r="C38" s="18"/>
      <c r="D38" s="18"/>
      <c r="E38" s="18"/>
      <c r="F38" s="18"/>
      <c r="G38" s="18"/>
      <c r="H38" s="166"/>
      <c r="I38" s="18"/>
      <c r="J38" s="18"/>
      <c r="K38" s="18"/>
      <c r="L38" s="18"/>
      <c r="M38" s="18"/>
      <c r="N38" s="19"/>
      <c r="O38" s="19"/>
      <c r="P38" s="19"/>
      <c r="Q38" s="19"/>
      <c r="R38" s="18"/>
      <c r="S38" s="18"/>
      <c r="T38" s="18"/>
      <c r="U38" s="18"/>
      <c r="V38" s="18"/>
      <c r="W38" s="19"/>
      <c r="X38" s="18"/>
      <c r="Y38" s="18"/>
      <c r="Z38" s="18"/>
      <c r="AD38" s="190"/>
    </row>
    <row r="39" spans="1:31">
      <c r="A39" s="27" t="s">
        <v>265</v>
      </c>
      <c r="B39" s="26">
        <f>VLOOKUP(Mapping!$E39,_90_1_2001,2,FALSE)</f>
        <v>1.6</v>
      </c>
      <c r="C39" s="26">
        <f>VLOOKUP(Mapping!$D39,_90_1_2007,2,FALSE)</f>
        <v>0.9</v>
      </c>
      <c r="D39" s="26">
        <f>VLOOKUP(Mapping!$C39,_90_1_2010,2,FALSE)</f>
        <v>0.79</v>
      </c>
      <c r="E39" s="26">
        <f>VLOOKUP(Mapping!$C39,_90_1_2010,3,FALSE)</f>
        <v>6</v>
      </c>
      <c r="F39" s="26">
        <f>VLOOKUP(Mapping!$B39,_90_1_2016BM,2,FALSE)</f>
        <v>0.9</v>
      </c>
      <c r="G39" s="134">
        <v>1</v>
      </c>
      <c r="H39" s="169">
        <f>VLOOKUP(Mapping!$B39,_90_1_2016BM,3,FALSE)</f>
        <v>0.1</v>
      </c>
      <c r="I39" s="26">
        <f>VLOOKUP(Mapping!G39,_Plugs,13,FALSE)</f>
        <v>0.74760799257268662</v>
      </c>
      <c r="J39" s="231">
        <f>VLOOKUP(Mapping!$F39,_SSPC_90.1,3,FALSE)</f>
        <v>0.5</v>
      </c>
      <c r="K39" s="26">
        <f>VLOOKUP(Mapping!$G39,_Plugs,14,FALSE)</f>
        <v>2</v>
      </c>
      <c r="L39" s="26">
        <f>VLOOKUP(Mapping!$G39,_Plugs,15,FALSE)</f>
        <v>0.54832713754646845</v>
      </c>
      <c r="M39" s="26">
        <f>VLOOKUP(Mapping!$G39,_Plugs,16,FALSE)</f>
        <v>1</v>
      </c>
      <c r="N39" s="135">
        <v>7</v>
      </c>
      <c r="O39" s="235">
        <f>VLOOKUP(Mapping!$I39,_ECB_CS,2,FALSE)</f>
        <v>50</v>
      </c>
      <c r="P39" s="235">
        <f>VLOOKUP(Mapping!$J39,_ACM05,3,FALSE)</f>
        <v>245</v>
      </c>
      <c r="Q39" s="235">
        <f>VLOOKUP(Mapping!$J39,_ACM05,4,FALSE)</f>
        <v>105</v>
      </c>
      <c r="R39" s="172">
        <f>VLOOKUP(Mapping!$F39,_SSPC_90.1,5,FALSE)</f>
        <v>14</v>
      </c>
      <c r="S39" s="172">
        <f>VLOOKUP(Mapping!$F39,_SSPC_90.1,6,FALSE)</f>
        <v>225</v>
      </c>
      <c r="T39" s="172">
        <f>VLOOKUP(Mapping!$F39,_SSPC_90.1,7,FALSE)</f>
        <v>105</v>
      </c>
      <c r="U39" s="26">
        <f>VLOOKUP(Mapping!$F39,_SSPC_90.1,4,FALSE)</f>
        <v>0.76</v>
      </c>
      <c r="V39" s="231">
        <f>VLOOKUP(Mapping!$I39,_ECB_CS,5,FALSE)</f>
        <v>0.3</v>
      </c>
      <c r="W39" s="135">
        <f>VLOOKUP(Mapping!$J39,_ACM05,6,FALSE)</f>
        <v>60</v>
      </c>
      <c r="X39" s="172">
        <f>VLOOKUP(Mapping!$I39,_ECB_CS,4,FALSE)</f>
        <v>100</v>
      </c>
      <c r="Y39" s="26">
        <f>VLOOKUP(Mapping!$H39,_CEUS,2,FALSE)</f>
        <v>2.2831050228310501E-2</v>
      </c>
      <c r="Z39" s="26">
        <f>VLOOKUP(Mapping!$H39,_CEUS,3,FALSE)</f>
        <v>6.6210045662100453E-2</v>
      </c>
      <c r="AA39" s="32" t="s">
        <v>51</v>
      </c>
      <c r="AB39" s="177" t="s">
        <v>266</v>
      </c>
      <c r="AD39" s="194" t="str">
        <f t="shared" ref="AD39:AD70" si="2">VLOOKUP(AB39,SchedulesLookup,2,FALSE)</f>
        <v>ps</v>
      </c>
      <c r="AE39" s="176" t="str">
        <f t="shared" ref="AE39:AE70" si="3">VLOOKUP(AB39,SchedulesLookup,3,FALSE)</f>
        <v>Schedule is inherited</v>
      </c>
    </row>
    <row r="40" spans="1:31">
      <c r="A40" s="27" t="s">
        <v>267</v>
      </c>
      <c r="B40" s="26">
        <f>VLOOKUP(Mapping!$E40,_90_1_2001,2,FALSE)</f>
        <v>0.5</v>
      </c>
      <c r="C40" s="26">
        <f>VLOOKUP(Mapping!$D40,_90_1_2007,2,FALSE)</f>
        <v>0.7</v>
      </c>
      <c r="D40" s="26">
        <f>VLOOKUP(Mapping!$C40,_90_1_2010,2,FALSE)</f>
        <v>0.82</v>
      </c>
      <c r="E40" s="26">
        <f>VLOOKUP(Mapping!$C40,_90_1_2010,3,FALSE)</f>
        <v>4</v>
      </c>
      <c r="F40" s="26">
        <f>VLOOKUP(Mapping!$B40,_90_1_2016BM,2,FALSE)</f>
        <v>0.7</v>
      </c>
      <c r="G40" s="134">
        <v>1</v>
      </c>
      <c r="H40" s="169">
        <f>VLOOKUP(Mapping!$B40,_90_1_2016BM,3,FALSE)</f>
        <v>0.1</v>
      </c>
      <c r="I40" s="26">
        <f>VLOOKUP(Mapping!G40,_Plugs,13,FALSE)</f>
        <v>0.74760799257268662</v>
      </c>
      <c r="J40" s="231">
        <f>VLOOKUP(Mapping!$F40,_SSPC_90.1,3,FALSE)</f>
        <v>0.25</v>
      </c>
      <c r="K40" s="26">
        <f>VLOOKUP(Mapping!$G40,_Plugs,14,FALSE)</f>
        <v>2</v>
      </c>
      <c r="L40" s="26">
        <f>VLOOKUP(Mapping!$G40,_Plugs,15,FALSE)</f>
        <v>0.54832713754646845</v>
      </c>
      <c r="M40" s="26">
        <f>VLOOKUP(Mapping!$G40,_Plugs,16,FALSE)</f>
        <v>1</v>
      </c>
      <c r="N40" s="135">
        <v>7</v>
      </c>
      <c r="O40" s="235">
        <f>VLOOKUP(Mapping!$I40,_ECB_CS,2,FALSE)</f>
        <v>50</v>
      </c>
      <c r="P40" s="235">
        <f>VLOOKUP(Mapping!$J40,_ACM05,3,FALSE)</f>
        <v>245</v>
      </c>
      <c r="Q40" s="235">
        <f>VLOOKUP(Mapping!$J40,_ACM05,4,FALSE)</f>
        <v>155</v>
      </c>
      <c r="R40" s="172">
        <f>VLOOKUP(Mapping!$F40,_SSPC_90.1,5,FALSE)</f>
        <v>20</v>
      </c>
      <c r="S40" s="172">
        <f>VLOOKUP(Mapping!$F40,_SSPC_90.1,6,FALSE)</f>
        <v>250</v>
      </c>
      <c r="T40" s="172">
        <f>VLOOKUP(Mapping!$F40,_SSPC_90.1,7,FALSE)</f>
        <v>200</v>
      </c>
      <c r="U40" s="26">
        <f>VLOOKUP(Mapping!$F40,_SSPC_90.1,4,FALSE)</f>
        <v>0.31</v>
      </c>
      <c r="V40" s="231">
        <f>VLOOKUP(Mapping!$I40,_ECB_CS,5,FALSE)</f>
        <v>0.4</v>
      </c>
      <c r="W40" s="135">
        <f>VLOOKUP(Mapping!$J40,_ACM05,6,FALSE)</f>
        <v>60</v>
      </c>
      <c r="X40" s="172">
        <f>VLOOKUP(Mapping!$I40,_ECB_CS,4,FALSE)</f>
        <v>150</v>
      </c>
      <c r="Y40" s="26">
        <f>VLOOKUP(Mapping!$H40,_CEUS,2,FALSE)</f>
        <v>2.2831050228310501E-2</v>
      </c>
      <c r="Z40" s="26">
        <f>VLOOKUP(Mapping!$H40,_CEUS,3,FALSE)</f>
        <v>6.6210045662100453E-2</v>
      </c>
      <c r="AA40" s="32" t="s">
        <v>51</v>
      </c>
      <c r="AB40" s="177" t="s">
        <v>223</v>
      </c>
      <c r="AD40" s="194" t="str">
        <f t="shared" si="2"/>
        <v>H</v>
      </c>
      <c r="AE40" s="176" t="str">
        <f t="shared" si="3"/>
        <v>Convention center, exercise center, motion picture theature, performing arts theater, religious building, sports arena</v>
      </c>
    </row>
    <row r="41" spans="1:31">
      <c r="A41" s="27" t="s">
        <v>268</v>
      </c>
      <c r="B41" s="26">
        <f>VLOOKUP(Mapping!$E41,_90_1_2001,2,FALSE)</f>
        <v>0.5</v>
      </c>
      <c r="C41" s="26">
        <f>VLOOKUP(Mapping!$D41,_90_1_2007,2,FALSE)</f>
        <v>0.3</v>
      </c>
      <c r="D41" s="26">
        <f>VLOOKUP(Mapping!$C41,_90_1_2010,2,FALSE)</f>
        <v>0.43</v>
      </c>
      <c r="E41" s="26">
        <f>VLOOKUP(Mapping!$C41,_90_1_2010,3,FALSE)</f>
        <v>6</v>
      </c>
      <c r="F41" s="26">
        <f>VLOOKUP(Mapping!$B41,_90_1_2016BM,2,FALSE)</f>
        <v>0.3</v>
      </c>
      <c r="G41" s="134">
        <v>1</v>
      </c>
      <c r="H41" s="169">
        <f>VLOOKUP(Mapping!$B41,_90_1_2016BM,3,FALSE)</f>
        <v>0.1</v>
      </c>
      <c r="I41" s="26">
        <f>VLOOKUP(Mapping!G41,_Plugs,13,FALSE)</f>
        <v>0.67424666522690402</v>
      </c>
      <c r="J41" s="231">
        <f>VLOOKUP(Mapping!$F41,_SSPC_90.1,3,FALSE)</f>
        <v>0.5</v>
      </c>
      <c r="K41" s="26">
        <f>VLOOKUP(Mapping!$G41,_Plugs,14,FALSE)</f>
        <v>2</v>
      </c>
      <c r="L41" s="26">
        <f>VLOOKUP(Mapping!$G41,_Plugs,15,FALSE)</f>
        <v>0.54832713754646845</v>
      </c>
      <c r="M41" s="26">
        <f>VLOOKUP(Mapping!$G41,_Plugs,16,FALSE)</f>
        <v>1</v>
      </c>
      <c r="N41" s="135">
        <v>7</v>
      </c>
      <c r="O41" s="235">
        <f>VLOOKUP(Mapping!$I41,_ECB_CS,2,FALSE)</f>
        <v>50</v>
      </c>
      <c r="P41" s="235">
        <f>VLOOKUP(Mapping!$J41,_ACM05,3,FALSE)</f>
        <v>255</v>
      </c>
      <c r="Q41" s="235">
        <f>VLOOKUP(Mapping!$J41,_ACM05,4,FALSE)</f>
        <v>875</v>
      </c>
      <c r="R41" s="172">
        <f>VLOOKUP(Mapping!$F41,_SSPC_90.1,5,FALSE)</f>
        <v>100</v>
      </c>
      <c r="S41" s="172">
        <f>VLOOKUP(Mapping!$F41,_SSPC_90.1,6,FALSE)</f>
        <v>710</v>
      </c>
      <c r="T41" s="172">
        <f>VLOOKUP(Mapping!$F41,_SSPC_90.1,7,FALSE)</f>
        <v>1090</v>
      </c>
      <c r="U41" s="26">
        <f>VLOOKUP(Mapping!$F41,_SSPC_90.1,4,FALSE)</f>
        <v>0.26</v>
      </c>
      <c r="V41" s="231">
        <f>VLOOKUP(Mapping!$I41,_ECB_CS,5,FALSE)</f>
        <v>0.3</v>
      </c>
      <c r="W41" s="135">
        <f>VLOOKUP(Mapping!$J41,_ACM05,6,FALSE)</f>
        <v>120</v>
      </c>
      <c r="X41" s="172">
        <f>VLOOKUP(Mapping!$I41,_ECB_CS,4,FALSE)</f>
        <v>100</v>
      </c>
      <c r="Y41" s="26">
        <f>VLOOKUP(Mapping!$H41,_CEUS,2,FALSE)</f>
        <v>2.2831050228310501E-2</v>
      </c>
      <c r="Z41" s="26">
        <f>VLOOKUP(Mapping!$H41,_CEUS,3,FALSE)</f>
        <v>6.6210045662100453E-2</v>
      </c>
      <c r="AA41" s="32" t="s">
        <v>51</v>
      </c>
      <c r="AB41" s="177" t="s">
        <v>266</v>
      </c>
      <c r="AD41" s="194" t="str">
        <f t="shared" si="2"/>
        <v>ps</v>
      </c>
      <c r="AE41" s="176" t="str">
        <f t="shared" si="3"/>
        <v>Schedule is inherited</v>
      </c>
    </row>
    <row r="42" spans="1:31">
      <c r="A42" s="27" t="s">
        <v>269</v>
      </c>
      <c r="B42" s="26">
        <f>VLOOKUP(Mapping!$E42,_90_1_2001,2,FALSE)</f>
        <v>0.5</v>
      </c>
      <c r="C42" s="26">
        <f>VLOOKUP(Mapping!$D42,_90_1_2007,2,FALSE)</f>
        <v>0.4</v>
      </c>
      <c r="D42" s="26">
        <f>VLOOKUP(Mapping!$C42,_90_1_2010,2,FALSE)</f>
        <v>0.43</v>
      </c>
      <c r="E42" s="26">
        <f>VLOOKUP(Mapping!$C42,_90_1_2010,3,FALSE)</f>
        <v>6</v>
      </c>
      <c r="F42" s="26">
        <f>VLOOKUP(Mapping!$B42,_90_1_2016BM,2,FALSE)</f>
        <v>0.4</v>
      </c>
      <c r="G42" s="134">
        <v>1</v>
      </c>
      <c r="H42" s="169">
        <f>VLOOKUP(Mapping!$B42,_90_1_2016BM,3,FALSE)</f>
        <v>0.1</v>
      </c>
      <c r="I42" s="26">
        <f>VLOOKUP(Mapping!G42,_Plugs,13,FALSE)</f>
        <v>0.67424666522690402</v>
      </c>
      <c r="J42" s="231">
        <f>VLOOKUP(Mapping!$F42,_SSPC_90.1,3,FALSE)</f>
        <v>0.5</v>
      </c>
      <c r="K42" s="26">
        <f>VLOOKUP(Mapping!$G42,_Plugs,14,FALSE)</f>
        <v>2</v>
      </c>
      <c r="L42" s="26">
        <f>VLOOKUP(Mapping!$G42,_Plugs,15,FALSE)</f>
        <v>0.54832713754646845</v>
      </c>
      <c r="M42" s="26">
        <f>VLOOKUP(Mapping!$G42,_Plugs,16,FALSE)</f>
        <v>1</v>
      </c>
      <c r="N42" s="135">
        <v>7</v>
      </c>
      <c r="O42" s="235">
        <f>VLOOKUP(Mapping!$I42,_ECB_CS,2,FALSE)</f>
        <v>50</v>
      </c>
      <c r="P42" s="235">
        <f>VLOOKUP(Mapping!$J42,_ACM05,3,FALSE)</f>
        <v>255</v>
      </c>
      <c r="Q42" s="235">
        <f>VLOOKUP(Mapping!$J42,_ACM05,4,FALSE)</f>
        <v>875</v>
      </c>
      <c r="R42" s="172">
        <f>VLOOKUP(Mapping!$F42,_SSPC_90.1,5,FALSE)</f>
        <v>33</v>
      </c>
      <c r="S42" s="172">
        <f>VLOOKUP(Mapping!$F42,_SSPC_90.1,6,FALSE)</f>
        <v>710</v>
      </c>
      <c r="T42" s="172">
        <f>VLOOKUP(Mapping!$F42,_SSPC_90.1,7,FALSE)</f>
        <v>1090</v>
      </c>
      <c r="U42" s="26">
        <f>VLOOKUP(Mapping!$F42,_SSPC_90.1,4,FALSE)</f>
        <v>0.3</v>
      </c>
      <c r="V42" s="231">
        <f>VLOOKUP(Mapping!$I42,_ECB_CS,5,FALSE)</f>
        <v>0.3</v>
      </c>
      <c r="W42" s="135">
        <f>VLOOKUP(Mapping!$J42,_ACM05,6,FALSE)</f>
        <v>120</v>
      </c>
      <c r="X42" s="172">
        <f>VLOOKUP(Mapping!$I42,_ECB_CS,4,FALSE)</f>
        <v>100</v>
      </c>
      <c r="Y42" s="26">
        <f>VLOOKUP(Mapping!$H42,_CEUS,2,FALSE)</f>
        <v>2.2831050228310501E-2</v>
      </c>
      <c r="Z42" s="26">
        <f>VLOOKUP(Mapping!$H42,_CEUS,3,FALSE)</f>
        <v>6.6210045662100453E-2</v>
      </c>
      <c r="AA42" s="32"/>
      <c r="AB42" s="177" t="s">
        <v>266</v>
      </c>
      <c r="AD42" s="194" t="str">
        <f t="shared" si="2"/>
        <v>ps</v>
      </c>
      <c r="AE42" s="176" t="str">
        <f t="shared" si="3"/>
        <v>Schedule is inherited</v>
      </c>
    </row>
    <row r="43" spans="1:31">
      <c r="A43" s="27" t="s">
        <v>270</v>
      </c>
      <c r="B43" s="26">
        <f>VLOOKUP(Mapping!$E43,_90_1_2001,2,FALSE)</f>
        <v>1.3</v>
      </c>
      <c r="C43" s="26">
        <f>VLOOKUP(Mapping!$D43,_90_1_2007,2,FALSE)</f>
        <v>1.2</v>
      </c>
      <c r="D43" s="26">
        <f>VLOOKUP(Mapping!$C43,_90_1_2010,2,FALSE)</f>
        <v>2.4300000000000002</v>
      </c>
      <c r="E43" s="26">
        <f>VLOOKUP(Mapping!$C43,_90_1_2010,3,FALSE)</f>
        <v>8</v>
      </c>
      <c r="F43" s="26">
        <f>VLOOKUP(Mapping!$B43,_90_1_2016BM,2,FALSE)</f>
        <v>1.2</v>
      </c>
      <c r="G43" s="134">
        <v>1</v>
      </c>
      <c r="H43" s="169">
        <f>VLOOKUP(Mapping!$B43,_90_1_2016BM,3,FALSE)</f>
        <v>0.1</v>
      </c>
      <c r="I43" s="26">
        <f>VLOOKUP(Mapping!G43,_Plugs,13,FALSE)</f>
        <v>0.74485358050420625</v>
      </c>
      <c r="J43" s="231">
        <f>VLOOKUP(Mapping!$F43,_SSPC_90.1,3,FALSE)</f>
        <v>0.54</v>
      </c>
      <c r="K43" s="26">
        <f>VLOOKUP(Mapping!$G43,_Plugs,14,FALSE)</f>
        <v>2</v>
      </c>
      <c r="L43" s="26">
        <f>VLOOKUP(Mapping!$G43,_Plugs,15,FALSE)</f>
        <v>0.54832713754646845</v>
      </c>
      <c r="M43" s="26">
        <f>VLOOKUP(Mapping!$G43,_Plugs,16,FALSE)</f>
        <v>1</v>
      </c>
      <c r="N43" s="135">
        <v>7</v>
      </c>
      <c r="O43" s="235">
        <f>VLOOKUP(Mapping!$I43,_ECB_CS,2,FALSE)</f>
        <v>50</v>
      </c>
      <c r="P43" s="235">
        <f>VLOOKUP(Mapping!$J43,_ACM05,3,FALSE)</f>
        <v>245</v>
      </c>
      <c r="Q43" s="235">
        <f>VLOOKUP(Mapping!$J43,_ACM05,4,FALSE)</f>
        <v>105</v>
      </c>
      <c r="R43" s="172">
        <f>VLOOKUP(Mapping!$F43,_SSPC_90.1,5,FALSE)</f>
        <v>7</v>
      </c>
      <c r="S43" s="172">
        <f>VLOOKUP(Mapping!$F43,_SSPC_90.1,6,FALSE)</f>
        <v>225</v>
      </c>
      <c r="T43" s="172">
        <f>VLOOKUP(Mapping!$F43,_SSPC_90.1,7,FALSE)</f>
        <v>105</v>
      </c>
      <c r="U43" s="26">
        <f>VLOOKUP(Mapping!$F43,_SSPC_90.1,4,FALSE)</f>
        <v>1.19</v>
      </c>
      <c r="V43" s="231">
        <f>VLOOKUP(Mapping!$I43,_ECB_CS,5,FALSE)</f>
        <v>0.3</v>
      </c>
      <c r="W43" s="135">
        <f>VLOOKUP(Mapping!$J43,_ACM05,6,FALSE)</f>
        <v>60</v>
      </c>
      <c r="X43" s="172">
        <f>VLOOKUP(Mapping!$I43,_ECB_CS,4,FALSE)</f>
        <v>100</v>
      </c>
      <c r="Y43" s="26">
        <f>VLOOKUP(Mapping!$H43,_CEUS,2,FALSE)</f>
        <v>2.2831050228310501E-2</v>
      </c>
      <c r="Z43" s="26">
        <f>VLOOKUP(Mapping!$H43,_CEUS,3,FALSE)</f>
        <v>6.6210045662100453E-2</v>
      </c>
      <c r="AA43" s="32"/>
      <c r="AB43" s="177" t="s">
        <v>223</v>
      </c>
      <c r="AD43" s="194" t="str">
        <f t="shared" si="2"/>
        <v>H</v>
      </c>
      <c r="AE43" s="176" t="str">
        <f t="shared" si="3"/>
        <v>Convention center, exercise center, motion picture theature, performing arts theater, religious building, sports arena</v>
      </c>
    </row>
    <row r="44" spans="1:31">
      <c r="A44" s="27" t="s">
        <v>271</v>
      </c>
      <c r="B44" s="26">
        <f>VLOOKUP(Mapping!$E44,_90_1_2001,2,FALSE)</f>
        <v>1.9</v>
      </c>
      <c r="C44" s="26">
        <f>VLOOKUP(Mapping!$D44,_90_1_2007,2,FALSE)</f>
        <v>0.7</v>
      </c>
      <c r="D44" s="26">
        <f>VLOOKUP(Mapping!$C44,_90_1_2010,2,FALSE)</f>
        <v>0.79</v>
      </c>
      <c r="E44" s="26">
        <f>VLOOKUP(Mapping!$C44,_90_1_2010,3,FALSE)</f>
        <v>6</v>
      </c>
      <c r="F44" s="26">
        <f>VLOOKUP(Mapping!$B44,_90_1_2016BM,2,FALSE)</f>
        <v>0.7</v>
      </c>
      <c r="G44" s="134">
        <v>1</v>
      </c>
      <c r="H44" s="169">
        <f>VLOOKUP(Mapping!$B44,_90_1_2016BM,3,FALSE)</f>
        <v>0.1</v>
      </c>
      <c r="I44" s="26">
        <f>VLOOKUP(Mapping!G44,_Plugs,13,FALSE)</f>
        <v>0.74760799257268662</v>
      </c>
      <c r="J44" s="231">
        <f>VLOOKUP(Mapping!$F44,_SSPC_90.1,3,FALSE)</f>
        <v>0.5</v>
      </c>
      <c r="K44" s="26">
        <f>VLOOKUP(Mapping!$G44,_Plugs,14,FALSE)</f>
        <v>2</v>
      </c>
      <c r="L44" s="26">
        <f>VLOOKUP(Mapping!$G44,_Plugs,15,FALSE)</f>
        <v>0.54832713754646845</v>
      </c>
      <c r="M44" s="26">
        <f>VLOOKUP(Mapping!$G44,_Plugs,16,FALSE)</f>
        <v>1</v>
      </c>
      <c r="N44" s="135">
        <v>7</v>
      </c>
      <c r="O44" s="235">
        <f>VLOOKUP(Mapping!$I44,_ECB_CS,2,FALSE)</f>
        <v>50</v>
      </c>
      <c r="P44" s="235">
        <f>VLOOKUP(Mapping!$J44,_ACM05,3,FALSE)</f>
        <v>245</v>
      </c>
      <c r="Q44" s="235">
        <f>VLOOKUP(Mapping!$J44,_ACM05,4,FALSE)</f>
        <v>105</v>
      </c>
      <c r="R44" s="172">
        <f>VLOOKUP(Mapping!$F44,_SSPC_90.1,5,FALSE)</f>
        <v>40</v>
      </c>
      <c r="S44" s="172">
        <f>VLOOKUP(Mapping!$F44,_SSPC_90.1,6,FALSE)</f>
        <v>250</v>
      </c>
      <c r="T44" s="172">
        <f>VLOOKUP(Mapping!$F44,_SSPC_90.1,7,FALSE)</f>
        <v>200</v>
      </c>
      <c r="U44" s="26">
        <f>VLOOKUP(Mapping!$F44,_SSPC_90.1,4,FALSE)</f>
        <v>0.25</v>
      </c>
      <c r="V44" s="231">
        <f>VLOOKUP(Mapping!$I44,_ECB_CS,5,FALSE)</f>
        <v>0.3</v>
      </c>
      <c r="W44" s="135">
        <f>VLOOKUP(Mapping!$J44,_ACM05,6,FALSE)</f>
        <v>60</v>
      </c>
      <c r="X44" s="172">
        <f>VLOOKUP(Mapping!$I44,_ECB_CS,4,FALSE)</f>
        <v>100</v>
      </c>
      <c r="Y44" s="26">
        <f>VLOOKUP(Mapping!$H44,_CEUS,2,FALSE)</f>
        <v>2.2831050228310501E-2</v>
      </c>
      <c r="Z44" s="26">
        <f>VLOOKUP(Mapping!$H44,_CEUS,3,FALSE)</f>
        <v>6.6210045662100453E-2</v>
      </c>
      <c r="AA44" s="32"/>
      <c r="AB44" s="177" t="s">
        <v>223</v>
      </c>
      <c r="AD44" s="194" t="str">
        <f t="shared" si="2"/>
        <v>H</v>
      </c>
      <c r="AE44" s="176" t="str">
        <f t="shared" si="3"/>
        <v>Convention center, exercise center, motion picture theature, performing arts theater, religious building, sports arena</v>
      </c>
    </row>
    <row r="45" spans="1:31">
      <c r="A45" s="27" t="s">
        <v>272</v>
      </c>
      <c r="B45" s="26">
        <f>VLOOKUP(Mapping!$E45,_90_1_2001,2,FALSE)</f>
        <v>1.8</v>
      </c>
      <c r="C45" s="26">
        <f>VLOOKUP(Mapping!$D45,_90_1_2007,2,FALSE)</f>
        <v>2.6</v>
      </c>
      <c r="D45" s="26">
        <f>VLOOKUP(Mapping!$C45,_90_1_2010,2,FALSE)</f>
        <v>1.1399999999999999</v>
      </c>
      <c r="E45" s="26">
        <f>VLOOKUP(Mapping!$C45,_90_1_2010,3,FALSE)</f>
        <v>4</v>
      </c>
      <c r="F45" s="26">
        <f>VLOOKUP(Mapping!$B45,_90_1_2016BM,2,FALSE)</f>
        <v>2.6</v>
      </c>
      <c r="G45" s="134">
        <v>1</v>
      </c>
      <c r="H45" s="169">
        <f>VLOOKUP(Mapping!$B45,_90_1_2016BM,3,FALSE)</f>
        <v>0.1</v>
      </c>
      <c r="I45" s="26">
        <f>VLOOKUP(Mapping!G45,_Plugs,13,FALSE)</f>
        <v>0.74485358050420625</v>
      </c>
      <c r="J45" s="231">
        <f>VLOOKUP(Mapping!$F45,_SSPC_90.1,3,FALSE)</f>
        <v>0.5</v>
      </c>
      <c r="K45" s="26">
        <f>VLOOKUP(Mapping!$G45,_Plugs,14,FALSE)</f>
        <v>2</v>
      </c>
      <c r="L45" s="26">
        <f>VLOOKUP(Mapping!$G45,_Plugs,15,FALSE)</f>
        <v>0.54832713754646845</v>
      </c>
      <c r="M45" s="26">
        <f>VLOOKUP(Mapping!$G45,_Plugs,16,FALSE)</f>
        <v>1</v>
      </c>
      <c r="N45" s="135">
        <v>7</v>
      </c>
      <c r="O45" s="235">
        <f>VLOOKUP(Mapping!$I45,_ECB_CS,2,FALSE)</f>
        <v>75</v>
      </c>
      <c r="P45" s="235">
        <f>VLOOKUP(Mapping!$J45,_ACM05,3,FALSE)</f>
        <v>245</v>
      </c>
      <c r="Q45" s="235">
        <f>VLOOKUP(Mapping!$J45,_ACM05,4,FALSE)</f>
        <v>105</v>
      </c>
      <c r="R45" s="172">
        <f>VLOOKUP(Mapping!$F45,_SSPC_90.1,5,FALSE)</f>
        <v>14</v>
      </c>
      <c r="S45" s="172">
        <f>VLOOKUP(Mapping!$F45,_SSPC_90.1,6,FALSE)</f>
        <v>225</v>
      </c>
      <c r="T45" s="172">
        <f>VLOOKUP(Mapping!$F45,_SSPC_90.1,7,FALSE)</f>
        <v>105</v>
      </c>
      <c r="U45" s="26">
        <f>VLOOKUP(Mapping!$F45,_SSPC_90.1,4,FALSE)</f>
        <v>0.76</v>
      </c>
      <c r="V45" s="231">
        <f>VLOOKUP(Mapping!$I45,_ECB_CS,5,FALSE)</f>
        <v>0.2</v>
      </c>
      <c r="W45" s="135">
        <f>VLOOKUP(Mapping!$J45,_ACM05,6,FALSE)</f>
        <v>60</v>
      </c>
      <c r="X45" s="172">
        <f>VLOOKUP(Mapping!$I45,_ECB_CS,4,FALSE)</f>
        <v>100</v>
      </c>
      <c r="Y45" s="26">
        <f>VLOOKUP(Mapping!$H45,_CEUS,2,FALSE)</f>
        <v>2.2831050228310501E-2</v>
      </c>
      <c r="Z45" s="26">
        <f>VLOOKUP(Mapping!$H45,_CEUS,3,FALSE)</f>
        <v>6.6210045662100453E-2</v>
      </c>
      <c r="AA45" s="32"/>
      <c r="AB45" s="177" t="s">
        <v>223</v>
      </c>
      <c r="AD45" s="194" t="str">
        <f t="shared" si="2"/>
        <v>H</v>
      </c>
      <c r="AE45" s="176" t="str">
        <f t="shared" si="3"/>
        <v>Convention center, exercise center, motion picture theature, performing arts theater, religious building, sports arena</v>
      </c>
    </row>
    <row r="46" spans="1:31">
      <c r="A46" s="27" t="s">
        <v>273</v>
      </c>
      <c r="B46" s="26">
        <f>VLOOKUP(Mapping!$E46,_90_1_2001,2,FALSE)</f>
        <v>3.2</v>
      </c>
      <c r="C46" s="26">
        <f>VLOOKUP(Mapping!$D46,_90_1_2007,2,FALSE)</f>
        <v>1.7</v>
      </c>
      <c r="D46" s="26">
        <f>VLOOKUP(Mapping!$C46,_90_1_2010,2,FALSE)</f>
        <v>1.53</v>
      </c>
      <c r="E46" s="26">
        <f>VLOOKUP(Mapping!$C46,_90_1_2010,3,FALSE)</f>
        <v>4</v>
      </c>
      <c r="F46" s="26">
        <f>VLOOKUP(Mapping!$B46,_90_1_2016BM,2,FALSE)</f>
        <v>1.7</v>
      </c>
      <c r="G46" s="134">
        <v>1</v>
      </c>
      <c r="H46" s="169">
        <f>VLOOKUP(Mapping!$B46,_90_1_2016BM,3,FALSE)</f>
        <v>0.1</v>
      </c>
      <c r="I46" s="26">
        <f>VLOOKUP(Mapping!G46,_Plugs,13,FALSE)</f>
        <v>0.73324325767498066</v>
      </c>
      <c r="J46" s="231">
        <f>VLOOKUP(Mapping!$F46,_SSPC_90.1,3,FALSE)</f>
        <v>0.96</v>
      </c>
      <c r="K46" s="26">
        <f>VLOOKUP(Mapping!$G46,_Plugs,14,FALSE)</f>
        <v>2</v>
      </c>
      <c r="L46" s="26">
        <f>VLOOKUP(Mapping!$G46,_Plugs,15,FALSE)</f>
        <v>0.54832713754646845</v>
      </c>
      <c r="M46" s="26">
        <f>VLOOKUP(Mapping!$G46,_Plugs,16,FALSE)</f>
        <v>1</v>
      </c>
      <c r="N46" s="135">
        <v>7</v>
      </c>
      <c r="O46" s="235">
        <f>VLOOKUP(Mapping!$I46,_ECB_CS,2,FALSE)</f>
        <v>50</v>
      </c>
      <c r="P46" s="235">
        <f>VLOOKUP(Mapping!$J46,_ACM05,3,FALSE)</f>
        <v>245</v>
      </c>
      <c r="Q46" s="235">
        <f>VLOOKUP(Mapping!$J46,_ACM05,4,FALSE)</f>
        <v>105</v>
      </c>
      <c r="R46" s="172">
        <f>VLOOKUP(Mapping!$F46,_SSPC_90.1,5,FALSE)</f>
        <v>8</v>
      </c>
      <c r="S46" s="172">
        <f>VLOOKUP(Mapping!$F46,_SSPC_90.1,6,FALSE)</f>
        <v>245</v>
      </c>
      <c r="T46" s="172">
        <f>VLOOKUP(Mapping!$F46,_SSPC_90.1,7,FALSE)</f>
        <v>155</v>
      </c>
      <c r="U46" s="26">
        <f>VLOOKUP(Mapping!$F46,_SSPC_90.1,4,FALSE)</f>
        <v>0.66</v>
      </c>
      <c r="V46" s="231">
        <f>VLOOKUP(Mapping!$I46,_ECB_CS,5,FALSE)</f>
        <v>0.3</v>
      </c>
      <c r="W46" s="135">
        <f>VLOOKUP(Mapping!$J46,_ACM05,6,FALSE)</f>
        <v>60</v>
      </c>
      <c r="X46" s="172">
        <f>VLOOKUP(Mapping!$I46,_ECB_CS,4,FALSE)</f>
        <v>50</v>
      </c>
      <c r="Y46" s="26">
        <f>VLOOKUP(Mapping!$H46,_CEUS,2,FALSE)</f>
        <v>2.2831050228310501E-2</v>
      </c>
      <c r="Z46" s="26">
        <f>VLOOKUP(Mapping!$H46,_CEUS,3,FALSE)</f>
        <v>6.6210045662100453E-2</v>
      </c>
      <c r="AA46" s="32"/>
      <c r="AB46" s="177" t="s">
        <v>223</v>
      </c>
      <c r="AD46" s="194" t="str">
        <f t="shared" si="2"/>
        <v>H</v>
      </c>
      <c r="AE46" s="176" t="str">
        <f t="shared" si="3"/>
        <v>Convention center, exercise center, motion picture theature, performing arts theater, religious building, sports arena</v>
      </c>
    </row>
    <row r="47" spans="1:31">
      <c r="A47" s="27" t="s">
        <v>274</v>
      </c>
      <c r="B47" s="26">
        <f>VLOOKUP(Mapping!$E47,_90_1_2001,2,FALSE)</f>
        <v>0.5</v>
      </c>
      <c r="C47" s="26">
        <f>VLOOKUP(Mapping!$D47,_90_1_2007,2,FALSE)</f>
        <v>0.4</v>
      </c>
      <c r="D47" s="26">
        <f>VLOOKUP(Mapping!$C47,_90_1_2010,2,FALSE)</f>
        <v>0.43</v>
      </c>
      <c r="E47" s="26">
        <f>VLOOKUP(Mapping!$C47,_90_1_2010,3,FALSE)</f>
        <v>4</v>
      </c>
      <c r="F47" s="26">
        <f>VLOOKUP(Mapping!$B47,_90_1_2016BM,2,FALSE)</f>
        <v>0.4</v>
      </c>
      <c r="G47" s="134">
        <v>1</v>
      </c>
      <c r="H47" s="169">
        <f>VLOOKUP(Mapping!$B47,_90_1_2016BM,3,FALSE)</f>
        <v>0.1</v>
      </c>
      <c r="I47" s="26">
        <f>VLOOKUP(Mapping!G47,_Plugs,13,FALSE)</f>
        <v>0.74485358050420625</v>
      </c>
      <c r="J47" s="231">
        <f>VLOOKUP(Mapping!$F47,_SSPC_90.1,3,FALSE)</f>
        <v>1</v>
      </c>
      <c r="K47" s="26">
        <f>VLOOKUP(Mapping!$G47,_Plugs,14,FALSE)</f>
        <v>2</v>
      </c>
      <c r="L47" s="26">
        <f>VLOOKUP(Mapping!$G47,_Plugs,15,FALSE)</f>
        <v>0.54832713754646845</v>
      </c>
      <c r="M47" s="26">
        <f>VLOOKUP(Mapping!$G47,_Plugs,16,FALSE)</f>
        <v>1</v>
      </c>
      <c r="N47" s="135">
        <v>7</v>
      </c>
      <c r="O47" s="235">
        <f>VLOOKUP(Mapping!$I47,_ECB_CS,2,FALSE)</f>
        <v>50</v>
      </c>
      <c r="P47" s="235">
        <f>VLOOKUP(Mapping!$J47,_ACM05,3,FALSE)</f>
        <v>255</v>
      </c>
      <c r="Q47" s="235">
        <f>VLOOKUP(Mapping!$J47,_ACM05,4,FALSE)</f>
        <v>875</v>
      </c>
      <c r="R47" s="172">
        <f>VLOOKUP(Mapping!$F47,_SSPC_90.1,5,FALSE)</f>
        <v>0</v>
      </c>
      <c r="S47" s="172">
        <f>VLOOKUP(Mapping!$F47,_SSPC_90.1,6,FALSE)</f>
        <v>245</v>
      </c>
      <c r="T47" s="172">
        <f>VLOOKUP(Mapping!$F47,_SSPC_90.1,7,FALSE)</f>
        <v>105</v>
      </c>
      <c r="U47" s="26">
        <f>VLOOKUP(Mapping!$F47,_SSPC_90.1,4,FALSE)</f>
        <v>0.3</v>
      </c>
      <c r="V47" s="231">
        <f>VLOOKUP(Mapping!$I47,_ECB_CS,5,FALSE)</f>
        <v>0.3</v>
      </c>
      <c r="W47" s="135">
        <f>VLOOKUP(Mapping!$J47,_ACM05,6,FALSE)</f>
        <v>120</v>
      </c>
      <c r="X47" s="172">
        <f>VLOOKUP(Mapping!$I47,_ECB_CS,4,FALSE)</f>
        <v>100</v>
      </c>
      <c r="Y47" s="26">
        <f>VLOOKUP(Mapping!$H47,_CEUS,2,FALSE)</f>
        <v>2.2831050228310501E-2</v>
      </c>
      <c r="Z47" s="26">
        <f>VLOOKUP(Mapping!$H47,_CEUS,3,FALSE)</f>
        <v>6.6210045662100453E-2</v>
      </c>
      <c r="AA47" s="32"/>
      <c r="AB47" s="177" t="s">
        <v>223</v>
      </c>
      <c r="AD47" s="194" t="str">
        <f t="shared" si="2"/>
        <v>H</v>
      </c>
      <c r="AE47" s="176" t="str">
        <f t="shared" si="3"/>
        <v>Convention center, exercise center, motion picture theature, performing arts theater, religious building, sports arena</v>
      </c>
    </row>
    <row r="48" spans="1:31">
      <c r="A48" s="27" t="s">
        <v>275</v>
      </c>
      <c r="B48" s="26">
        <f>VLOOKUP(Mapping!$E48,_90_1_2001,2,FALSE)</f>
        <v>1</v>
      </c>
      <c r="C48" s="26">
        <f>VLOOKUP(Mapping!$D48,_90_1_2007,2,FALSE)</f>
        <v>0.5</v>
      </c>
      <c r="D48" s="26">
        <f>VLOOKUP(Mapping!$C48,_90_1_2010,2,FALSE)</f>
        <v>0.54</v>
      </c>
      <c r="E48" s="26">
        <f>VLOOKUP(Mapping!$C48,_90_1_2010,3,FALSE)</f>
        <v>4</v>
      </c>
      <c r="F48" s="26">
        <f>VLOOKUP(Mapping!$B48,_90_1_2016BM,2,FALSE)</f>
        <v>0.5</v>
      </c>
      <c r="G48" s="134">
        <v>1</v>
      </c>
      <c r="H48" s="169">
        <f>VLOOKUP(Mapping!$B48,_90_1_2016BM,3,FALSE)</f>
        <v>0.1</v>
      </c>
      <c r="I48" s="26">
        <f>VLOOKUP(Mapping!G48,_Plugs,13,FALSE)</f>
        <v>0.74760799257268662</v>
      </c>
      <c r="J48" s="231">
        <f>VLOOKUP(Mapping!$F48,_SSPC_90.1,3,FALSE)</f>
        <v>0.5</v>
      </c>
      <c r="K48" s="26">
        <f>VLOOKUP(Mapping!$G48,_Plugs,14,FALSE)</f>
        <v>2</v>
      </c>
      <c r="L48" s="26">
        <f>VLOOKUP(Mapping!$G48,_Plugs,15,FALSE)</f>
        <v>0.54832713754646845</v>
      </c>
      <c r="M48" s="26">
        <f>VLOOKUP(Mapping!$G48,_Plugs,16,FALSE)</f>
        <v>1</v>
      </c>
      <c r="N48" s="135">
        <v>7</v>
      </c>
      <c r="O48" s="235">
        <f>VLOOKUP(Mapping!$I48,_ECB_CS,2,FALSE)</f>
        <v>100</v>
      </c>
      <c r="P48" s="235">
        <f>VLOOKUP(Mapping!$J48,_ACM05,3,FALSE)</f>
        <v>250</v>
      </c>
      <c r="Q48" s="235">
        <f>VLOOKUP(Mapping!$J48,_ACM05,4,FALSE)</f>
        <v>250</v>
      </c>
      <c r="R48" s="172">
        <f>VLOOKUP(Mapping!$F48,_SSPC_90.1,5,FALSE)</f>
        <v>10</v>
      </c>
      <c r="S48" s="172">
        <f>VLOOKUP(Mapping!$F48,_SSPC_90.1,6,FALSE)</f>
        <v>225</v>
      </c>
      <c r="T48" s="172">
        <f>VLOOKUP(Mapping!$F48,_SSPC_90.1,7,FALSE)</f>
        <v>105</v>
      </c>
      <c r="U48" s="26">
        <f>VLOOKUP(Mapping!$F48,_SSPC_90.1,4,FALSE)</f>
        <v>0.81</v>
      </c>
      <c r="V48" s="231">
        <f>VLOOKUP(Mapping!$I48,_ECB_CS,5,FALSE)</f>
        <v>0.2</v>
      </c>
      <c r="W48" s="135">
        <f>VLOOKUP(Mapping!$J48,_ACM05,6,FALSE)</f>
        <v>120</v>
      </c>
      <c r="X48" s="172">
        <f>VLOOKUP(Mapping!$I48,_ECB_CS,4,FALSE)</f>
        <v>215</v>
      </c>
      <c r="Y48" s="26">
        <f>VLOOKUP(Mapping!$H48,_CEUS,2,FALSE)</f>
        <v>2.2831050228310501E-2</v>
      </c>
      <c r="Z48" s="26">
        <f>VLOOKUP(Mapping!$H48,_CEUS,3,FALSE)</f>
        <v>6.6210045662100453E-2</v>
      </c>
      <c r="AA48" s="32"/>
      <c r="AB48" s="176" t="s">
        <v>234</v>
      </c>
      <c r="AD48" s="194" t="str">
        <f t="shared" si="2"/>
        <v>E</v>
      </c>
      <c r="AE48" s="176" t="str">
        <f t="shared" si="3"/>
        <v>Fire station, clinic, hospital, police station, transportation</v>
      </c>
    </row>
    <row r="49" spans="1:31">
      <c r="A49" s="27" t="s">
        <v>276</v>
      </c>
      <c r="B49" s="26">
        <f>VLOOKUP(Mapping!$E49,_90_1_2001,2,FALSE)</f>
        <v>1.6</v>
      </c>
      <c r="C49" s="26">
        <f>VLOOKUP(Mapping!$D49,_90_1_2007,2,FALSE)</f>
        <v>0.9</v>
      </c>
      <c r="D49" s="26">
        <f>VLOOKUP(Mapping!$C49,_90_1_2010,2,FALSE)</f>
        <v>0.79</v>
      </c>
      <c r="E49" s="26">
        <f>VLOOKUP(Mapping!$C49,_90_1_2010,3,FALSE)</f>
        <v>6</v>
      </c>
      <c r="F49" s="26">
        <f>VLOOKUP(Mapping!$B49,_90_1_2016BM,2,FALSE)</f>
        <v>0.9</v>
      </c>
      <c r="G49" s="134">
        <v>1</v>
      </c>
      <c r="H49" s="169">
        <f>VLOOKUP(Mapping!$B49,_90_1_2016BM,3,FALSE)</f>
        <v>0.1</v>
      </c>
      <c r="I49" s="26">
        <f>VLOOKUP(Mapping!G49,_Plugs,13,FALSE)</f>
        <v>0.74760799257268662</v>
      </c>
      <c r="J49" s="231" t="str">
        <f>VLOOKUP(Mapping!$F49,_SSPC_90.1,3,FALSE)</f>
        <v>UWBD</v>
      </c>
      <c r="K49" s="26">
        <f>VLOOKUP(Mapping!$G49,_Plugs,14,FALSE)</f>
        <v>2</v>
      </c>
      <c r="L49" s="26">
        <f>VLOOKUP(Mapping!$G49,_Plugs,15,FALSE)</f>
        <v>0.54832713754646845</v>
      </c>
      <c r="M49" s="26">
        <f>VLOOKUP(Mapping!$G49,_Plugs,16,FALSE)</f>
        <v>1</v>
      </c>
      <c r="N49" s="135">
        <v>7</v>
      </c>
      <c r="O49" s="235">
        <f>VLOOKUP(Mapping!$I49,_ECB_CS,2,FALSE)</f>
        <v>50</v>
      </c>
      <c r="P49" s="235">
        <f>VLOOKUP(Mapping!$J49,_ACM05,3,FALSE)</f>
        <v>245</v>
      </c>
      <c r="Q49" s="235">
        <f>VLOOKUP(Mapping!$J49,_ACM05,4,FALSE)</f>
        <v>105</v>
      </c>
      <c r="R49" s="172" t="str">
        <f>VLOOKUP(Mapping!$F49,_SSPC_90.1,5,FALSE)</f>
        <v>UWBD</v>
      </c>
      <c r="S49" s="172" t="str">
        <f>VLOOKUP(Mapping!$F49,_SSPC_90.1,6,FALSE)</f>
        <v>UWBD</v>
      </c>
      <c r="T49" s="172" t="str">
        <f>VLOOKUP(Mapping!$F49,_SSPC_90.1,7,FALSE)</f>
        <v>UWBD</v>
      </c>
      <c r="U49" s="26" t="str">
        <f>VLOOKUP(Mapping!$F49,_SSPC_90.1,4,FALSE)</f>
        <v>UWBD</v>
      </c>
      <c r="V49" s="231">
        <f>VLOOKUP(Mapping!$I49,_ECB_CS,5,FALSE)</f>
        <v>0.3</v>
      </c>
      <c r="W49" s="135">
        <f>VLOOKUP(Mapping!$J49,_ACM05,6,FALSE)</f>
        <v>60</v>
      </c>
      <c r="X49" s="172">
        <f>VLOOKUP(Mapping!$I49,_ECB_CS,4,FALSE)</f>
        <v>100</v>
      </c>
      <c r="Y49" s="26">
        <f>VLOOKUP(Mapping!$H49,_CEUS,2,FALSE)</f>
        <v>2.2831050228310501E-2</v>
      </c>
      <c r="Z49" s="26">
        <f>VLOOKUP(Mapping!$H49,_CEUS,3,FALSE)</f>
        <v>6.6210045662100453E-2</v>
      </c>
      <c r="AA49" s="32"/>
      <c r="AB49" s="177" t="s">
        <v>266</v>
      </c>
      <c r="AD49" s="194" t="str">
        <f t="shared" si="2"/>
        <v>ps</v>
      </c>
      <c r="AE49" s="176" t="str">
        <f t="shared" si="3"/>
        <v>Schedule is inherited</v>
      </c>
    </row>
    <row r="50" spans="1:31">
      <c r="A50" s="27" t="s">
        <v>277</v>
      </c>
      <c r="B50" s="26">
        <f>VLOOKUP(Mapping!$E50,_90_1_2001,2,FALSE)</f>
        <v>1.3</v>
      </c>
      <c r="C50" s="26">
        <f>VLOOKUP(Mapping!$D50,_90_1_2007,2,FALSE)</f>
        <v>0.6</v>
      </c>
      <c r="D50" s="26" t="str">
        <f>VLOOKUP(Mapping!$C50,_90_1_2010,2,FALSE)</f>
        <v>0.03 (watts per ft height)</v>
      </c>
      <c r="E50" s="26" t="str">
        <f>VLOOKUP(Mapping!$C50,_90_1_2010,3,FALSE)</f>
        <v>n.a.</v>
      </c>
      <c r="F50" s="26" t="str">
        <f>VLOOKUP(Mapping!$B50,_90_1_2016BM,2,FALSE)</f>
        <v>0.0375 per ft of height</v>
      </c>
      <c r="G50" s="134">
        <v>1</v>
      </c>
      <c r="H50" s="169">
        <f>VLOOKUP(Mapping!$B50,_90_1_2016BM,3,FALSE)</f>
        <v>0.1</v>
      </c>
      <c r="I50" s="26" t="str">
        <f>VLOOKUP(Mapping!G50,_Plugs,13,FALSE)</f>
        <v>n.a.</v>
      </c>
      <c r="J50" s="231" t="str">
        <f>VLOOKUP(Mapping!$F50,_SSPC_90.1,3,FALSE)</f>
        <v>UWBD</v>
      </c>
      <c r="K50" s="26" t="str">
        <f>VLOOKUP(Mapping!$G50,_Plugs,14,FALSE)</f>
        <v>n.a.</v>
      </c>
      <c r="L50" s="26" t="str">
        <f>VLOOKUP(Mapping!$G50,_Plugs,15,FALSE)</f>
        <v>n.a.</v>
      </c>
      <c r="M50" s="26" t="str">
        <f>VLOOKUP(Mapping!$G50,_Plugs,16,FALSE)</f>
        <v>n.a.</v>
      </c>
      <c r="N50" s="135">
        <v>7</v>
      </c>
      <c r="O50" s="235">
        <f>VLOOKUP(Mapping!$I50,_ECB_CS,2,FALSE)</f>
        <v>100</v>
      </c>
      <c r="P50" s="235">
        <f>VLOOKUP(Mapping!$J50,_ACM05,3,FALSE)</f>
        <v>250</v>
      </c>
      <c r="Q50" s="235">
        <f>VLOOKUP(Mapping!$J50,_ACM05,4,FALSE)</f>
        <v>250</v>
      </c>
      <c r="R50" s="172" t="str">
        <f>VLOOKUP(Mapping!$F50,_SSPC_90.1,5,FALSE)</f>
        <v>UWBD</v>
      </c>
      <c r="S50" s="172" t="str">
        <f>VLOOKUP(Mapping!$F50,_SSPC_90.1,6,FALSE)</f>
        <v>UWBD</v>
      </c>
      <c r="T50" s="172" t="str">
        <f>VLOOKUP(Mapping!$F50,_SSPC_90.1,7,FALSE)</f>
        <v>UWBD</v>
      </c>
      <c r="U50" s="26" t="str">
        <f>VLOOKUP(Mapping!$F50,_SSPC_90.1,4,FALSE)</f>
        <v>UWBD</v>
      </c>
      <c r="V50" s="231">
        <f>VLOOKUP(Mapping!$I50,_ECB_CS,5,FALSE)</f>
        <v>0.1</v>
      </c>
      <c r="W50" s="135">
        <f>VLOOKUP(Mapping!$J50,_ACM05,6,FALSE)</f>
        <v>120</v>
      </c>
      <c r="X50" s="172">
        <f>VLOOKUP(Mapping!$I50,_ECB_CS,4,FALSE)</f>
        <v>0</v>
      </c>
      <c r="Y50" s="26">
        <f>VLOOKUP(Mapping!$H50,_CEUS,2,FALSE)</f>
        <v>2.2831050228310501E-2</v>
      </c>
      <c r="Z50" s="26">
        <f>VLOOKUP(Mapping!$H50,_CEUS,3,FALSE)</f>
        <v>6.6210045662100453E-2</v>
      </c>
      <c r="AA50" s="33"/>
      <c r="AB50" s="177" t="s">
        <v>266</v>
      </c>
      <c r="AD50" s="194" t="str">
        <f t="shared" si="2"/>
        <v>ps</v>
      </c>
      <c r="AE50" s="176" t="str">
        <f t="shared" si="3"/>
        <v>Schedule is inherited</v>
      </c>
    </row>
    <row r="51" spans="1:31">
      <c r="A51" s="27" t="s">
        <v>278</v>
      </c>
      <c r="B51" s="26">
        <f>VLOOKUP(Mapping!$E51,_90_1_2001,2,FALSE)</f>
        <v>0.2</v>
      </c>
      <c r="C51" s="26">
        <f>VLOOKUP(Mapping!$D51,_90_1_2007,2,FALSE)</f>
        <v>0.2</v>
      </c>
      <c r="D51" s="26" t="str">
        <f>VLOOKUP(Mapping!$C51,_90_1_2010,2,FALSE)</f>
        <v>0.02 (watts per ft height)</v>
      </c>
      <c r="E51" s="26" t="str">
        <f>VLOOKUP(Mapping!$C51,_90_1_2010,3,FALSE)</f>
        <v>n.a.</v>
      </c>
      <c r="F51" s="26" t="str">
        <f>VLOOKUP(Mapping!$B51,_90_1_2016BM,2,FALSE)</f>
        <v>0.05 + 0.025 per ft of height</v>
      </c>
      <c r="G51" s="134">
        <v>1</v>
      </c>
      <c r="H51" s="169">
        <f>VLOOKUP(Mapping!$B51,_90_1_2016BM,3,FALSE)</f>
        <v>0.1</v>
      </c>
      <c r="I51" s="26" t="str">
        <f>VLOOKUP(Mapping!G51,_Plugs,13,FALSE)</f>
        <v>n.a.</v>
      </c>
      <c r="J51" s="231" t="str">
        <f>VLOOKUP(Mapping!$F51,_SSPC_90.1,3,FALSE)</f>
        <v>UWBD</v>
      </c>
      <c r="K51" s="26" t="str">
        <f>VLOOKUP(Mapping!$G51,_Plugs,14,FALSE)</f>
        <v>n.a.</v>
      </c>
      <c r="L51" s="26" t="str">
        <f>VLOOKUP(Mapping!$G51,_Plugs,15,FALSE)</f>
        <v>n.a.</v>
      </c>
      <c r="M51" s="26" t="str">
        <f>VLOOKUP(Mapping!$G51,_Plugs,16,FALSE)</f>
        <v>n.a.</v>
      </c>
      <c r="N51" s="135">
        <v>7</v>
      </c>
      <c r="O51" s="235">
        <f>VLOOKUP(Mapping!$I51,_ECB_CS,2,FALSE)</f>
        <v>100</v>
      </c>
      <c r="P51" s="235">
        <f>VLOOKUP(Mapping!$J51,_ACM05,3,FALSE)</f>
        <v>250</v>
      </c>
      <c r="Q51" s="235">
        <f>VLOOKUP(Mapping!$J51,_ACM05,4,FALSE)</f>
        <v>250</v>
      </c>
      <c r="R51" s="172" t="str">
        <f>VLOOKUP(Mapping!$F51,_SSPC_90.1,5,FALSE)</f>
        <v>UWBD</v>
      </c>
      <c r="S51" s="172" t="str">
        <f>VLOOKUP(Mapping!$F51,_SSPC_90.1,6,FALSE)</f>
        <v>UWBD</v>
      </c>
      <c r="T51" s="172" t="str">
        <f>VLOOKUP(Mapping!$F51,_SSPC_90.1,7,FALSE)</f>
        <v>UWBD</v>
      </c>
      <c r="U51" s="26" t="str">
        <f>VLOOKUP(Mapping!$F51,_SSPC_90.1,4,FALSE)</f>
        <v>UWBD</v>
      </c>
      <c r="V51" s="231">
        <f>VLOOKUP(Mapping!$I51,_ECB_CS,5,FALSE)</f>
        <v>0.1</v>
      </c>
      <c r="W51" s="135">
        <f>VLOOKUP(Mapping!$J51,_ACM05,6,FALSE)</f>
        <v>120</v>
      </c>
      <c r="X51" s="172">
        <f>VLOOKUP(Mapping!$I51,_ECB_CS,4,FALSE)</f>
        <v>0</v>
      </c>
      <c r="Y51" s="26">
        <f>VLOOKUP(Mapping!$H51,_CEUS,2,FALSE)</f>
        <v>2.2831050228310501E-2</v>
      </c>
      <c r="Z51" s="26">
        <f>VLOOKUP(Mapping!$H51,_CEUS,3,FALSE)</f>
        <v>6.6210045662100453E-2</v>
      </c>
      <c r="AA51" s="33"/>
      <c r="AB51" s="177" t="s">
        <v>266</v>
      </c>
      <c r="AD51" s="194" t="str">
        <f t="shared" si="2"/>
        <v>ps</v>
      </c>
      <c r="AE51" s="176" t="str">
        <f t="shared" si="3"/>
        <v>Schedule is inherited</v>
      </c>
    </row>
    <row r="52" spans="1:31">
      <c r="A52" s="27" t="s">
        <v>279</v>
      </c>
      <c r="B52" s="26">
        <f>VLOOKUP(Mapping!$E52,_90_1_2001,2,FALSE)</f>
        <v>2.4</v>
      </c>
      <c r="C52" s="26">
        <f>VLOOKUP(Mapping!$D52,_90_1_2007,2,FALSE)</f>
        <v>1.5</v>
      </c>
      <c r="D52" s="26">
        <f>VLOOKUP(Mapping!$C52,_90_1_2010,2,FALSE)</f>
        <v>1.38</v>
      </c>
      <c r="E52" s="26">
        <f>VLOOKUP(Mapping!$C52,_90_1_2010,3,FALSE)</f>
        <v>6</v>
      </c>
      <c r="F52" s="26">
        <f>VLOOKUP(Mapping!$B52,_90_1_2016BM,2,FALSE)</f>
        <v>1.5</v>
      </c>
      <c r="G52" s="134">
        <v>1</v>
      </c>
      <c r="H52" s="169">
        <f>VLOOKUP(Mapping!$B52,_90_1_2016BM,3,FALSE)</f>
        <v>0.1</v>
      </c>
      <c r="I52" s="26">
        <f>VLOOKUP(Mapping!G52,_Plugs,13,FALSE)</f>
        <v>1.7200786547923466</v>
      </c>
      <c r="J52" s="231">
        <f>VLOOKUP(Mapping!$F52,_SSPC_90.1,3,FALSE)</f>
        <v>0.75</v>
      </c>
      <c r="K52" s="26">
        <f>VLOOKUP(Mapping!$G52,_Plugs,14,FALSE)</f>
        <v>2</v>
      </c>
      <c r="L52" s="26">
        <f>VLOOKUP(Mapping!$G52,_Plugs,15,FALSE)</f>
        <v>0.77137546468401497</v>
      </c>
      <c r="M52" s="26">
        <f>VLOOKUP(Mapping!$G52,_Plugs,16,FALSE)</f>
        <v>1</v>
      </c>
      <c r="N52" s="135">
        <v>7</v>
      </c>
      <c r="O52" s="235">
        <f>VLOOKUP(Mapping!$I52,_ECB_CS,2,FALSE)</f>
        <v>200</v>
      </c>
      <c r="P52" s="235">
        <f>VLOOKUP(Mapping!$J52,_ACM05,3,FALSE)</f>
        <v>250</v>
      </c>
      <c r="Q52" s="235">
        <f>VLOOKUP(Mapping!$J52,_ACM05,4,FALSE)</f>
        <v>250</v>
      </c>
      <c r="R52" s="172">
        <f>VLOOKUP(Mapping!$F52,_SSPC_90.1,5,FALSE)</f>
        <v>200</v>
      </c>
      <c r="S52" s="172">
        <f>VLOOKUP(Mapping!$F52,_SSPC_90.1,6,FALSE)</f>
        <v>250</v>
      </c>
      <c r="T52" s="172">
        <f>VLOOKUP(Mapping!$F52,_SSPC_90.1,7,FALSE)</f>
        <v>200</v>
      </c>
      <c r="U52" s="26">
        <f>VLOOKUP(Mapping!$F52,_SSPC_90.1,4,FALSE)</f>
        <v>0.09</v>
      </c>
      <c r="V52" s="231">
        <f>VLOOKUP(Mapping!$I52,_ECB_CS,5,FALSE)</f>
        <v>0.1</v>
      </c>
      <c r="W52" s="135">
        <f>VLOOKUP(Mapping!$J52,_ACM05,6,FALSE)</f>
        <v>120</v>
      </c>
      <c r="X52" s="172">
        <f>VLOOKUP(Mapping!$I52,_ECB_CS,4,FALSE)</f>
        <v>300</v>
      </c>
      <c r="Y52" s="26">
        <f>VLOOKUP(Mapping!$H52,_CEUS,2,FALSE)</f>
        <v>0.12557077625570776</v>
      </c>
      <c r="Z52" s="26">
        <f>VLOOKUP(Mapping!$H52,_CEUS,3,FALSE)</f>
        <v>5.3652968036529677E-2</v>
      </c>
      <c r="AA52" s="32" t="s">
        <v>51</v>
      </c>
      <c r="AB52" s="177" t="s">
        <v>225</v>
      </c>
      <c r="AD52" s="194" t="str">
        <f t="shared" si="2"/>
        <v>A</v>
      </c>
      <c r="AE52" s="176" t="str">
        <f t="shared" si="3"/>
        <v>courthouse, office, post office, town hall</v>
      </c>
    </row>
    <row r="53" spans="1:31">
      <c r="A53" s="27" t="s">
        <v>280</v>
      </c>
      <c r="B53" s="26">
        <f>VLOOKUP(Mapping!$E53,_90_1_2001,2,FALSE)</f>
        <v>1.6</v>
      </c>
      <c r="C53" s="26">
        <f>VLOOKUP(Mapping!$D53,_90_1_2007,2,FALSE)</f>
        <v>1.4</v>
      </c>
      <c r="D53" s="26">
        <f>VLOOKUP(Mapping!$C53,_90_1_2010,2,FALSE)</f>
        <v>1.24</v>
      </c>
      <c r="E53" s="26">
        <f>VLOOKUP(Mapping!$C53,_90_1_2010,3,FALSE)</f>
        <v>4</v>
      </c>
      <c r="F53" s="26">
        <f>VLOOKUP(Mapping!$B53,_90_1_2016BM,2,FALSE)</f>
        <v>1.3</v>
      </c>
      <c r="G53" s="134">
        <v>1</v>
      </c>
      <c r="H53" s="169" t="str">
        <f>VLOOKUP(Mapping!$B53,_90_1_2016BM,3,FALSE)</f>
        <v>n.a.</v>
      </c>
      <c r="I53" s="26">
        <f>VLOOKUP(Mapping!G53,_Plugs,13,FALSE)</f>
        <v>0.58912884055837</v>
      </c>
      <c r="J53" s="231">
        <f>VLOOKUP(Mapping!$F53,_SSPC_90.1,3,FALSE)</f>
        <v>0.5</v>
      </c>
      <c r="K53" s="26">
        <f>VLOOKUP(Mapping!$G53,_Plugs,14,FALSE)</f>
        <v>2</v>
      </c>
      <c r="L53" s="26">
        <f>VLOOKUP(Mapping!$G53,_Plugs,15,FALSE)</f>
        <v>0.18587360594795541</v>
      </c>
      <c r="M53" s="26">
        <f>VLOOKUP(Mapping!$G53,_Plugs,16,FALSE)</f>
        <v>1</v>
      </c>
      <c r="N53" s="135">
        <v>7</v>
      </c>
      <c r="O53" s="235">
        <f>VLOOKUP(Mapping!$I53,_ECB_CS,2,FALSE)</f>
        <v>75</v>
      </c>
      <c r="P53" s="235">
        <f>VLOOKUP(Mapping!$J53,_ACM05,3,FALSE)</f>
        <v>245</v>
      </c>
      <c r="Q53" s="235">
        <f>VLOOKUP(Mapping!$J53,_ACM05,4,FALSE)</f>
        <v>155</v>
      </c>
      <c r="R53" s="172">
        <f>VLOOKUP(Mapping!$F53,_SSPC_90.1,5,FALSE)</f>
        <v>40</v>
      </c>
      <c r="S53" s="172">
        <f>VLOOKUP(Mapping!$F53,_SSPC_90.1,6,FALSE)</f>
        <v>250</v>
      </c>
      <c r="T53" s="172">
        <f>VLOOKUP(Mapping!$F53,_SSPC_90.1,7,FALSE)</f>
        <v>200</v>
      </c>
      <c r="U53" s="26">
        <f>VLOOKUP(Mapping!$F53,_SSPC_90.1,4,FALSE)</f>
        <v>0.25</v>
      </c>
      <c r="V53" s="231">
        <f>VLOOKUP(Mapping!$I53,_ECB_CS,5,FALSE)</f>
        <v>0.2</v>
      </c>
      <c r="W53" s="135">
        <f>VLOOKUP(Mapping!$J53,_ACM05,6,FALSE)</f>
        <v>120</v>
      </c>
      <c r="X53" s="172">
        <f>VLOOKUP(Mapping!$I53,_ECB_CS,4,FALSE)</f>
        <v>215</v>
      </c>
      <c r="Y53" s="26">
        <f>VLOOKUP(Mapping!$H53,_CEUS,2,FALSE)</f>
        <v>0.13698630136986303</v>
      </c>
      <c r="Z53" s="26">
        <f>VLOOKUP(Mapping!$H53,_CEUS,3,FALSE)</f>
        <v>5.7077625570776253E-2</v>
      </c>
      <c r="AA53" s="32" t="s">
        <v>51</v>
      </c>
      <c r="AB53" s="177" t="s">
        <v>266</v>
      </c>
      <c r="AD53" s="194" t="str">
        <f t="shared" si="2"/>
        <v>ps</v>
      </c>
      <c r="AE53" s="176" t="str">
        <f t="shared" si="3"/>
        <v>Schedule is inherited</v>
      </c>
    </row>
    <row r="54" spans="1:31">
      <c r="A54" s="27" t="s">
        <v>281</v>
      </c>
      <c r="B54" s="26">
        <f>VLOOKUP(Mapping!$E54,_90_1_2001,2,FALSE)</f>
        <v>1.6</v>
      </c>
      <c r="C54" s="26">
        <f>VLOOKUP(Mapping!$D54,_90_1_2007,2,FALSE)</f>
        <v>1.4</v>
      </c>
      <c r="D54" s="26">
        <f>VLOOKUP(Mapping!$C54,_90_1_2010,2,FALSE)</f>
        <v>1.24</v>
      </c>
      <c r="E54" s="26">
        <f>VLOOKUP(Mapping!$C54,_90_1_2010,3,FALSE)</f>
        <v>4</v>
      </c>
      <c r="F54" s="26">
        <f>VLOOKUP(Mapping!$B54,_90_1_2016BM,2,FALSE)</f>
        <v>1.4</v>
      </c>
      <c r="G54" s="134">
        <v>1</v>
      </c>
      <c r="H54" s="169">
        <f>VLOOKUP(Mapping!$B54,_90_1_2016BM,3,FALSE)</f>
        <v>0.3</v>
      </c>
      <c r="I54" s="26">
        <f>VLOOKUP(Mapping!G54,_Plugs,13,FALSE)</f>
        <v>0.58912884055837</v>
      </c>
      <c r="J54" s="231">
        <f>VLOOKUP(Mapping!$F54,_SSPC_90.1,3,FALSE)</f>
        <v>1.39</v>
      </c>
      <c r="K54" s="26">
        <f>VLOOKUP(Mapping!$G54,_Plugs,14,FALSE)</f>
        <v>2</v>
      </c>
      <c r="L54" s="26">
        <f>VLOOKUP(Mapping!$G54,_Plugs,15,FALSE)</f>
        <v>0.18587360594795541</v>
      </c>
      <c r="M54" s="26">
        <f>VLOOKUP(Mapping!$G54,_Plugs,16,FALSE)</f>
        <v>1</v>
      </c>
      <c r="N54" s="135">
        <v>7</v>
      </c>
      <c r="O54" s="235">
        <f>VLOOKUP(Mapping!$I54,_ECB_CS,2,FALSE)</f>
        <v>75</v>
      </c>
      <c r="P54" s="235">
        <f>VLOOKUP(Mapping!$J54,_ACM05,3,FALSE)</f>
        <v>245</v>
      </c>
      <c r="Q54" s="235">
        <f>VLOOKUP(Mapping!$J54,_ACM05,4,FALSE)</f>
        <v>155</v>
      </c>
      <c r="R54" s="172">
        <f>VLOOKUP(Mapping!$F54,_SSPC_90.1,5,FALSE)</f>
        <v>40</v>
      </c>
      <c r="S54" s="172">
        <f>VLOOKUP(Mapping!$F54,_SSPC_90.1,6,FALSE)</f>
        <v>250</v>
      </c>
      <c r="T54" s="172">
        <f>VLOOKUP(Mapping!$F54,_SSPC_90.1,7,FALSE)</f>
        <v>200</v>
      </c>
      <c r="U54" s="26">
        <f>VLOOKUP(Mapping!$F54,_SSPC_90.1,4,FALSE)</f>
        <v>0.47</v>
      </c>
      <c r="V54" s="231">
        <f>VLOOKUP(Mapping!$I54,_ECB_CS,5,FALSE)</f>
        <v>0.2</v>
      </c>
      <c r="W54" s="135">
        <f>VLOOKUP(Mapping!$J54,_ACM05,6,FALSE)</f>
        <v>120</v>
      </c>
      <c r="X54" s="172">
        <f>VLOOKUP(Mapping!$I54,_ECB_CS,4,FALSE)</f>
        <v>215</v>
      </c>
      <c r="Y54" s="26">
        <f>VLOOKUP(Mapping!$H54,_CEUS,2,FALSE)</f>
        <v>0.13698630136986303</v>
      </c>
      <c r="Z54" s="26">
        <f>VLOOKUP(Mapping!$H54,_CEUS,3,FALSE)</f>
        <v>5.7077625570776253E-2</v>
      </c>
      <c r="AA54" s="32" t="s">
        <v>51</v>
      </c>
      <c r="AB54" s="177" t="s">
        <v>266</v>
      </c>
      <c r="AD54" s="194" t="str">
        <f t="shared" si="2"/>
        <v>ps</v>
      </c>
      <c r="AE54" s="176" t="str">
        <f t="shared" si="3"/>
        <v>Schedule is inherited</v>
      </c>
    </row>
    <row r="55" spans="1:31">
      <c r="A55" s="27" t="s">
        <v>282</v>
      </c>
      <c r="B55" s="26">
        <f>VLOOKUP(Mapping!$E55,_90_1_2001,2,FALSE)</f>
        <v>1.6</v>
      </c>
      <c r="C55" s="26">
        <f>VLOOKUP(Mapping!$D55,_90_1_2007,2,FALSE)</f>
        <v>1.4</v>
      </c>
      <c r="D55" s="26">
        <f>VLOOKUP(Mapping!$C55,_90_1_2010,2,FALSE)</f>
        <v>1.24</v>
      </c>
      <c r="E55" s="26">
        <f>VLOOKUP(Mapping!$C55,_90_1_2010,3,FALSE)</f>
        <v>4</v>
      </c>
      <c r="F55" s="26">
        <f>VLOOKUP(Mapping!$B55,_90_1_2016BM,2,FALSE)</f>
        <v>1.4</v>
      </c>
      <c r="G55" s="134">
        <v>1</v>
      </c>
      <c r="H55" s="169" t="str">
        <f>VLOOKUP(Mapping!$B55,_90_1_2016BM,3,FALSE)</f>
        <v>n.a.</v>
      </c>
      <c r="I55" s="26">
        <f>VLOOKUP(Mapping!G55,_Plugs,13,FALSE)</f>
        <v>0.58912884055837</v>
      </c>
      <c r="J55" s="231" t="str">
        <f>VLOOKUP(Mapping!$F55,_SSPC_90.1,3,FALSE)</f>
        <v>UWBD</v>
      </c>
      <c r="K55" s="26">
        <f>VLOOKUP(Mapping!$G55,_Plugs,14,FALSE)</f>
        <v>2</v>
      </c>
      <c r="L55" s="26">
        <f>VLOOKUP(Mapping!$G55,_Plugs,15,FALSE)</f>
        <v>0.18587360594795541</v>
      </c>
      <c r="M55" s="26">
        <f>VLOOKUP(Mapping!$G55,_Plugs,16,FALSE)</f>
        <v>1</v>
      </c>
      <c r="N55" s="135">
        <v>7</v>
      </c>
      <c r="O55" s="235">
        <f>VLOOKUP(Mapping!$I55,_ECB_CS,2,FALSE)</f>
        <v>75</v>
      </c>
      <c r="P55" s="235">
        <f>VLOOKUP(Mapping!$J55,_ACM05,3,FALSE)</f>
        <v>245</v>
      </c>
      <c r="Q55" s="235">
        <f>VLOOKUP(Mapping!$J55,_ACM05,4,FALSE)</f>
        <v>155</v>
      </c>
      <c r="R55" s="172" t="str">
        <f>VLOOKUP(Mapping!$F55,_SSPC_90.1,5,FALSE)</f>
        <v>UWBD</v>
      </c>
      <c r="S55" s="172" t="str">
        <f>VLOOKUP(Mapping!$F55,_SSPC_90.1,6,FALSE)</f>
        <v>UWBD</v>
      </c>
      <c r="T55" s="172" t="str">
        <f>VLOOKUP(Mapping!$F55,_SSPC_90.1,7,FALSE)</f>
        <v>UWBD</v>
      </c>
      <c r="U55" s="26" t="str">
        <f>VLOOKUP(Mapping!$F55,_SSPC_90.1,4,FALSE)</f>
        <v>UWBD</v>
      </c>
      <c r="V55" s="231">
        <f>VLOOKUP(Mapping!$I55,_ECB_CS,5,FALSE)</f>
        <v>0.2</v>
      </c>
      <c r="W55" s="135">
        <f>VLOOKUP(Mapping!$J55,_ACM05,6,FALSE)</f>
        <v>120</v>
      </c>
      <c r="X55" s="172">
        <f>VLOOKUP(Mapping!$I55,_ECB_CS,4,FALSE)</f>
        <v>215</v>
      </c>
      <c r="Y55" s="26">
        <f>VLOOKUP(Mapping!$H55,_CEUS,2,FALSE)</f>
        <v>0.13698630136986303</v>
      </c>
      <c r="Z55" s="26">
        <f>VLOOKUP(Mapping!$H55,_CEUS,3,FALSE)</f>
        <v>5.7077625570776253E-2</v>
      </c>
      <c r="AA55" s="32" t="s">
        <v>47</v>
      </c>
      <c r="AB55" s="177" t="s">
        <v>266</v>
      </c>
      <c r="AD55" s="194" t="str">
        <f t="shared" si="2"/>
        <v>ps</v>
      </c>
      <c r="AE55" s="176" t="str">
        <f t="shared" si="3"/>
        <v>Schedule is inherited</v>
      </c>
    </row>
    <row r="56" spans="1:31">
      <c r="A56" s="27" t="s">
        <v>283</v>
      </c>
      <c r="B56" s="26">
        <f>VLOOKUP(Mapping!$E56,_90_1_2001,2,FALSE)</f>
        <v>1.5</v>
      </c>
      <c r="C56" s="26">
        <f>VLOOKUP(Mapping!$D56,_90_1_2007,2,FALSE)</f>
        <v>1.3</v>
      </c>
      <c r="D56" s="26">
        <f>VLOOKUP(Mapping!$C56,_90_1_2010,2,FALSE)</f>
        <v>1.23</v>
      </c>
      <c r="E56" s="26">
        <f>VLOOKUP(Mapping!$C56,_90_1_2010,3,FALSE)</f>
        <v>6</v>
      </c>
      <c r="F56" s="26">
        <f>VLOOKUP(Mapping!$B56,_90_1_2016BM,2,FALSE)</f>
        <v>1.3</v>
      </c>
      <c r="G56" s="134">
        <v>1</v>
      </c>
      <c r="H56" s="169" t="str">
        <f>VLOOKUP(Mapping!$B56,_90_1_2016BM,3,FALSE)</f>
        <v>n.a.</v>
      </c>
      <c r="I56" s="26">
        <f>VLOOKUP(Mapping!G56,_Plugs,13,FALSE)</f>
        <v>0.73324325767498066</v>
      </c>
      <c r="J56" s="231" t="str">
        <f>VLOOKUP(Mapping!$F56,_SSPC_90.1,3,FALSE)</f>
        <v>UWBD</v>
      </c>
      <c r="K56" s="26">
        <f>VLOOKUP(Mapping!$G56,_Plugs,14,FALSE)</f>
        <v>2</v>
      </c>
      <c r="L56" s="26">
        <f>VLOOKUP(Mapping!$G56,_Plugs,15,FALSE)</f>
        <v>0.54832713754646845</v>
      </c>
      <c r="M56" s="26">
        <f>VLOOKUP(Mapping!$G56,_Plugs,16,FALSE)</f>
        <v>1</v>
      </c>
      <c r="N56" s="135">
        <v>7</v>
      </c>
      <c r="O56" s="235">
        <f>VLOOKUP(Mapping!$I56,_ECB_CS,2,FALSE)</f>
        <v>50</v>
      </c>
      <c r="P56" s="235">
        <f>VLOOKUP(Mapping!$J56,_ACM05,3,FALSE)</f>
        <v>245</v>
      </c>
      <c r="Q56" s="235">
        <f>VLOOKUP(Mapping!$J56,_ACM05,4,FALSE)</f>
        <v>155</v>
      </c>
      <c r="R56" s="172" t="str">
        <f>VLOOKUP(Mapping!$F56,_SSPC_90.1,5,FALSE)</f>
        <v>UWBD</v>
      </c>
      <c r="S56" s="172" t="str">
        <f>VLOOKUP(Mapping!$F56,_SSPC_90.1,6,FALSE)</f>
        <v>UWBD</v>
      </c>
      <c r="T56" s="172" t="str">
        <f>VLOOKUP(Mapping!$F56,_SSPC_90.1,7,FALSE)</f>
        <v>UWBD</v>
      </c>
      <c r="U56" s="26" t="str">
        <f>VLOOKUP(Mapping!$F56,_SSPC_90.1,4,FALSE)</f>
        <v>UWBD</v>
      </c>
      <c r="V56" s="231">
        <f>VLOOKUP(Mapping!$I56,_ECB_CS,5,FALSE)</f>
        <v>0.4</v>
      </c>
      <c r="W56" s="135">
        <f>VLOOKUP(Mapping!$J56,_ACM05,6,FALSE)</f>
        <v>60</v>
      </c>
      <c r="X56" s="172">
        <f>VLOOKUP(Mapping!$I56,_ECB_CS,4,FALSE)</f>
        <v>150</v>
      </c>
      <c r="Y56" s="26">
        <f>VLOOKUP(Mapping!$H56,_CEUS,2,FALSE)</f>
        <v>0.29680365296803651</v>
      </c>
      <c r="Z56" s="26">
        <f>VLOOKUP(Mapping!$H56,_CEUS,3,FALSE)</f>
        <v>5.2511415525114152E-2</v>
      </c>
      <c r="AA56" s="32"/>
      <c r="AB56" s="177" t="s">
        <v>266</v>
      </c>
      <c r="AD56" s="194" t="str">
        <f t="shared" si="2"/>
        <v>ps</v>
      </c>
      <c r="AE56" s="176" t="str">
        <f t="shared" si="3"/>
        <v>Schedule is inherited</v>
      </c>
    </row>
    <row r="57" spans="1:31">
      <c r="A57" s="27" t="s">
        <v>284</v>
      </c>
      <c r="B57" s="26">
        <f>VLOOKUP(Mapping!$E57,_90_1_2001,2,FALSE)</f>
        <v>1.1000000000000001</v>
      </c>
      <c r="C57" s="26">
        <f>VLOOKUP(Mapping!$D57,_90_1_2007,2,FALSE)</f>
        <v>0.9</v>
      </c>
      <c r="D57" s="26">
        <f>VLOOKUP(Mapping!$C57,_90_1_2010,2,FALSE)</f>
        <v>1.1000000000000001</v>
      </c>
      <c r="E57" s="26">
        <f>VLOOKUP(Mapping!$C57,_90_1_2010,3,FALSE)</f>
        <v>6</v>
      </c>
      <c r="F57" s="26">
        <f>VLOOKUP(Mapping!$B57,_90_1_2016BM,2,FALSE)</f>
        <v>0.9</v>
      </c>
      <c r="G57" s="134">
        <v>1</v>
      </c>
      <c r="H57" s="169">
        <f>VLOOKUP(Mapping!$B57,_90_1_2016BM,3,FALSE)</f>
        <v>0.1</v>
      </c>
      <c r="I57" s="26">
        <f>VLOOKUP(Mapping!G57,_Plugs,13,FALSE)</f>
        <v>1.4928322661656475</v>
      </c>
      <c r="J57" s="231">
        <f>VLOOKUP(Mapping!$F57,_SSPC_90.1,3,FALSE)</f>
        <v>0.5</v>
      </c>
      <c r="K57" s="26">
        <f>VLOOKUP(Mapping!$G57,_Plugs,14,FALSE)</f>
        <v>2</v>
      </c>
      <c r="L57" s="26">
        <f>VLOOKUP(Mapping!$G57,_Plugs,15,FALSE)</f>
        <v>1.1152416356877324</v>
      </c>
      <c r="M57" s="26">
        <f>VLOOKUP(Mapping!$G57,_Plugs,16,FALSE)</f>
        <v>1</v>
      </c>
      <c r="N57" s="135">
        <v>7</v>
      </c>
      <c r="O57" s="235">
        <f>VLOOKUP(Mapping!$I57,_ECB_CS,2,FALSE)</f>
        <v>250</v>
      </c>
      <c r="P57" s="235">
        <f>VLOOKUP(Mapping!$J57,_ACM05,3,FALSE)</f>
        <v>250</v>
      </c>
      <c r="Q57" s="235">
        <f>VLOOKUP(Mapping!$J57,_ACM05,4,FALSE)</f>
        <v>200</v>
      </c>
      <c r="R57" s="172">
        <f>VLOOKUP(Mapping!$F57,_SSPC_90.1,5,FALSE)</f>
        <v>40</v>
      </c>
      <c r="S57" s="172">
        <f>VLOOKUP(Mapping!$F57,_SSPC_90.1,6,FALSE)</f>
        <v>250</v>
      </c>
      <c r="T57" s="172">
        <f>VLOOKUP(Mapping!$F57,_SSPC_90.1,7,FALSE)</f>
        <v>200</v>
      </c>
      <c r="U57" s="26">
        <f>VLOOKUP(Mapping!$F57,_SSPC_90.1,4,FALSE)</f>
        <v>0.25</v>
      </c>
      <c r="V57" s="231">
        <f>VLOOKUP(Mapping!$I57,_ECB_CS,5,FALSE)</f>
        <v>0.08</v>
      </c>
      <c r="W57" s="135">
        <f>VLOOKUP(Mapping!$J57,_ACM05,6,FALSE)</f>
        <v>120</v>
      </c>
      <c r="X57" s="172">
        <f>VLOOKUP(Mapping!$I57,_ECB_CS,4,FALSE)</f>
        <v>1110</v>
      </c>
      <c r="Y57" s="26">
        <f>VLOOKUP(Mapping!$H57,_CEUS,2,FALSE)</f>
        <v>0.69634703196347048</v>
      </c>
      <c r="Z57" s="26">
        <f>VLOOKUP(Mapping!$H57,_CEUS,3,FALSE)</f>
        <v>0.10273972602739725</v>
      </c>
      <c r="AA57" s="32"/>
      <c r="AB57" s="177" t="s">
        <v>240</v>
      </c>
      <c r="AD57" s="194" t="str">
        <f t="shared" si="2"/>
        <v>D</v>
      </c>
      <c r="AE57" s="176" t="str">
        <f t="shared" si="3"/>
        <v>Hotel, motel, penitentiary</v>
      </c>
    </row>
    <row r="58" spans="1:31">
      <c r="A58" s="27" t="s">
        <v>285</v>
      </c>
      <c r="B58" s="26" t="e">
        <f>VLOOKUP(Mapping!$E58,_90_1_2001,2,FALSE)</f>
        <v>#N/A</v>
      </c>
      <c r="C58" s="26">
        <f>VLOOKUP(Mapping!$D58,_90_1_2007,2,FALSE)</f>
        <v>1.9</v>
      </c>
      <c r="D58" s="26">
        <f>VLOOKUP(Mapping!$C58,_90_1_2010,2,FALSE)</f>
        <v>1.59</v>
      </c>
      <c r="E58" s="26">
        <f>VLOOKUP(Mapping!$C58,_90_1_2010,3,FALSE)</f>
        <v>6</v>
      </c>
      <c r="F58" s="26">
        <f>VLOOKUP(Mapping!$B58,_90_1_2016BM,2,FALSE)</f>
        <v>0.9</v>
      </c>
      <c r="G58" s="134">
        <v>1</v>
      </c>
      <c r="H58" s="169">
        <f>VLOOKUP(Mapping!$B58,_90_1_2016BM,3,FALSE)</f>
        <v>0.1</v>
      </c>
      <c r="I58" s="26" t="str">
        <f>VLOOKUP(Mapping!G58,_Plugs,13,FALSE)</f>
        <v>UWBD</v>
      </c>
      <c r="J58" s="231" t="str">
        <f>VLOOKUP(Mapping!$F58,_SSPC_90.1,3,FALSE)</f>
        <v>UWBD</v>
      </c>
      <c r="K58" s="26" t="str">
        <f>VLOOKUP(Mapping!$G58,_Plugs,14,FALSE)</f>
        <v>UWBD</v>
      </c>
      <c r="L58" s="26" t="str">
        <f>VLOOKUP(Mapping!$G58,_Plugs,15,FALSE)</f>
        <v>UWBD</v>
      </c>
      <c r="M58" s="26" t="str">
        <f>VLOOKUP(Mapping!$G58,_Plugs,16,FALSE)</f>
        <v>UWBD</v>
      </c>
      <c r="N58" s="135">
        <v>7</v>
      </c>
      <c r="O58" s="235" t="str">
        <f>VLOOKUP(Mapping!$I58,_ECB_CS,2,FALSE)</f>
        <v>n.a.</v>
      </c>
      <c r="P58" s="235" t="str">
        <f>VLOOKUP(Mapping!$J58,_ACM05,3,FALSE)</f>
        <v>n.a.</v>
      </c>
      <c r="Q58" s="235" t="str">
        <f>VLOOKUP(Mapping!$J58,_ACM05,4,FALSE)</f>
        <v>n.a.</v>
      </c>
      <c r="R58" s="172" t="str">
        <f>VLOOKUP(Mapping!$F58,_SSPC_90.1,5,FALSE)</f>
        <v>UWBD</v>
      </c>
      <c r="S58" s="172" t="str">
        <f>VLOOKUP(Mapping!$F58,_SSPC_90.1,6,FALSE)</f>
        <v>UWBD</v>
      </c>
      <c r="T58" s="172" t="str">
        <f>VLOOKUP(Mapping!$F58,_SSPC_90.1,7,FALSE)</f>
        <v>UWBD</v>
      </c>
      <c r="U58" s="26" t="str">
        <f>VLOOKUP(Mapping!$F58,_SSPC_90.1,4,FALSE)</f>
        <v>UWBD</v>
      </c>
      <c r="V58" s="231" t="str">
        <f>VLOOKUP(Mapping!$I58,_ECB_CS,5,FALSE)</f>
        <v>n.a.</v>
      </c>
      <c r="W58" s="135" t="str">
        <f>VLOOKUP(Mapping!$J58,_ACM05,6,FALSE)</f>
        <v>n.a.</v>
      </c>
      <c r="X58" s="172" t="str">
        <f>VLOOKUP(Mapping!$I58,_ECB_CS,4,FALSE)</f>
        <v>n.a.</v>
      </c>
      <c r="Y58" s="26" t="str">
        <f>VLOOKUP(Mapping!$H58,_CEUS,2,FALSE)</f>
        <v>n.a.</v>
      </c>
      <c r="Z58" s="26" t="str">
        <f>VLOOKUP(Mapping!$H58,_CEUS,3,FALSE)</f>
        <v>n.a.</v>
      </c>
      <c r="AA58" s="32" t="s">
        <v>51</v>
      </c>
      <c r="AB58" s="177" t="s">
        <v>266</v>
      </c>
      <c r="AD58" s="194" t="str">
        <f t="shared" si="2"/>
        <v>ps</v>
      </c>
      <c r="AE58" s="176" t="str">
        <f t="shared" si="3"/>
        <v>Schedule is inherited</v>
      </c>
    </row>
    <row r="59" spans="1:31">
      <c r="A59" s="27" t="s">
        <v>286</v>
      </c>
      <c r="B59" s="26" t="e">
        <f>VLOOKUP(Mapping!$E59,_90_1_2001,2,FALSE)</f>
        <v>#N/A</v>
      </c>
      <c r="C59" s="26" t="e">
        <f>VLOOKUP(Mapping!$D59,_90_1_2007,2,FALSE)</f>
        <v>#N/A</v>
      </c>
      <c r="D59" s="26">
        <f>VLOOKUP(Mapping!$C59,_90_1_2010,2,FALSE)</f>
        <v>0.66</v>
      </c>
      <c r="E59" s="26" t="str">
        <f>VLOOKUP(Mapping!$C59,_90_1_2010,3,FALSE)</f>
        <v xml:space="preserve"> Width&lt;8 ft  </v>
      </c>
      <c r="F59" s="26">
        <f>VLOOKUP(Mapping!$B59,_90_1_2016BM,2,FALSE)</f>
        <v>1.1499999999999999</v>
      </c>
      <c r="G59" s="134">
        <v>1</v>
      </c>
      <c r="H59" s="169">
        <f>VLOOKUP(Mapping!$B59,_90_1_2016BM,3,FALSE)</f>
        <v>0.25</v>
      </c>
      <c r="I59" s="26">
        <f>VLOOKUP(Mapping!G59,_Plugs,13,FALSE)</f>
        <v>1.4046493036603716</v>
      </c>
      <c r="J59" s="231" t="str">
        <f>VLOOKUP(Mapping!$F59,_SSPC_90.1,3,FALSE)</f>
        <v>UWBD</v>
      </c>
      <c r="K59" s="26">
        <f>VLOOKUP(Mapping!$G59,_Plugs,14,FALSE)</f>
        <v>2</v>
      </c>
      <c r="L59" s="26">
        <f>VLOOKUP(Mapping!$G59,_Plugs,15,FALSE)</f>
        <v>1.1152416356877324</v>
      </c>
      <c r="M59" s="26">
        <f>VLOOKUP(Mapping!$G59,_Plugs,16,FALSE)</f>
        <v>1</v>
      </c>
      <c r="N59" s="135">
        <v>7</v>
      </c>
      <c r="O59" s="235">
        <f>VLOOKUP(Mapping!$I59,_ECB_CS,2,FALSE)</f>
        <v>100</v>
      </c>
      <c r="P59" s="235">
        <f>VLOOKUP(Mapping!$J59,_ACM05,3,FALSE)</f>
        <v>250</v>
      </c>
      <c r="Q59" s="235">
        <f>VLOOKUP(Mapping!$J59,_ACM05,4,FALSE)</f>
        <v>250</v>
      </c>
      <c r="R59" s="172" t="str">
        <f>VLOOKUP(Mapping!$F59,_SSPC_90.1,5,FALSE)</f>
        <v>UWBD</v>
      </c>
      <c r="S59" s="172" t="str">
        <f>VLOOKUP(Mapping!$F59,_SSPC_90.1,6,FALSE)</f>
        <v>UWBD</v>
      </c>
      <c r="T59" s="172" t="str">
        <f>VLOOKUP(Mapping!$F59,_SSPC_90.1,7,FALSE)</f>
        <v>UWBD</v>
      </c>
      <c r="U59" s="26" t="str">
        <f>VLOOKUP(Mapping!$F59,_SSPC_90.1,4,FALSE)</f>
        <v>UWBD</v>
      </c>
      <c r="V59" s="231">
        <f>VLOOKUP(Mapping!$I59,_ECB_CS,5,FALSE)</f>
        <v>0.2</v>
      </c>
      <c r="W59" s="135">
        <f>VLOOKUP(Mapping!$J59,_ACM05,6,FALSE)</f>
        <v>0</v>
      </c>
      <c r="X59" s="172">
        <f>VLOOKUP(Mapping!$I59,_ECB_CS,4,FALSE)</f>
        <v>0</v>
      </c>
      <c r="Y59" s="26">
        <f>VLOOKUP(Mapping!$H59,_CEUS,2,FALSE)</f>
        <v>0.69634703196347048</v>
      </c>
      <c r="Z59" s="26">
        <f>VLOOKUP(Mapping!$H59,_CEUS,3,FALSE)</f>
        <v>0.10273972602739725</v>
      </c>
      <c r="AA59" s="32" t="s">
        <v>51</v>
      </c>
      <c r="AB59" s="206" t="s">
        <v>266</v>
      </c>
      <c r="AD59" s="194" t="str">
        <f t="shared" si="2"/>
        <v>ps</v>
      </c>
      <c r="AE59" s="176" t="str">
        <f t="shared" si="3"/>
        <v>Schedule is inherited</v>
      </c>
    </row>
    <row r="60" spans="1:31">
      <c r="A60" s="27" t="s">
        <v>287</v>
      </c>
      <c r="B60" s="26">
        <f>VLOOKUP(Mapping!$E60,_90_1_2001,2,FALSE)</f>
        <v>1.6</v>
      </c>
      <c r="C60" s="26">
        <f>VLOOKUP(Mapping!$D60,_90_1_2007,2,FALSE)</f>
        <v>1</v>
      </c>
      <c r="D60" s="26">
        <f>VLOOKUP(Mapping!$C60,_90_1_2010,2,FALSE)</f>
        <v>0.89</v>
      </c>
      <c r="E60" s="26" t="str">
        <f>VLOOKUP(Mapping!$C60,_90_1_2010,3,FALSE)</f>
        <v xml:space="preserve"> Width &lt; 8 ft  </v>
      </c>
      <c r="F60" s="26">
        <f>VLOOKUP(Mapping!$B60,_90_1_2016BM,2,FALSE)</f>
        <v>1</v>
      </c>
      <c r="G60" s="134">
        <v>1</v>
      </c>
      <c r="H60" s="169">
        <f>VLOOKUP(Mapping!$B60,_90_1_2016BM,3,FALSE)</f>
        <v>0.25</v>
      </c>
      <c r="I60" s="26">
        <f>VLOOKUP(Mapping!G60,_Plugs,13,FALSE)</f>
        <v>1.2488271893219809</v>
      </c>
      <c r="J60" s="231" t="str">
        <f>VLOOKUP(Mapping!$F60,_SSPC_90.1,3,FALSE)</f>
        <v>UWBD</v>
      </c>
      <c r="K60" s="26">
        <f>VLOOKUP(Mapping!$G60,_Plugs,14,FALSE)</f>
        <v>2</v>
      </c>
      <c r="L60" s="26">
        <f>VLOOKUP(Mapping!$G60,_Plugs,15,FALSE)</f>
        <v>0.762081784386617</v>
      </c>
      <c r="M60" s="26">
        <f>VLOOKUP(Mapping!$G60,_Plugs,16,FALSE)</f>
        <v>1</v>
      </c>
      <c r="N60" s="135">
        <v>7</v>
      </c>
      <c r="O60" s="235">
        <f>VLOOKUP(Mapping!$I60,_ECB_CS,2,FALSE)</f>
        <v>100</v>
      </c>
      <c r="P60" s="235">
        <f>VLOOKUP(Mapping!$J60,_ACM05,3,FALSE)</f>
        <v>250</v>
      </c>
      <c r="Q60" s="235">
        <f>VLOOKUP(Mapping!$J60,_ACM05,4,FALSE)</f>
        <v>250</v>
      </c>
      <c r="R60" s="172" t="str">
        <f>VLOOKUP(Mapping!$F60,_SSPC_90.1,5,FALSE)</f>
        <v>UWBD</v>
      </c>
      <c r="S60" s="172" t="str">
        <f>VLOOKUP(Mapping!$F60,_SSPC_90.1,6,FALSE)</f>
        <v>UWBD</v>
      </c>
      <c r="T60" s="172" t="str">
        <f>VLOOKUP(Mapping!$F60,_SSPC_90.1,7,FALSE)</f>
        <v>UWBD</v>
      </c>
      <c r="U60" s="26" t="str">
        <f>VLOOKUP(Mapping!$F60,_SSPC_90.1,4,FALSE)</f>
        <v>UWBD</v>
      </c>
      <c r="V60" s="231">
        <f>VLOOKUP(Mapping!$I60,_ECB_CS,5,FALSE)</f>
        <v>0.2</v>
      </c>
      <c r="W60" s="135">
        <f>VLOOKUP(Mapping!$J60,_ACM05,6,FALSE)</f>
        <v>0</v>
      </c>
      <c r="X60" s="172">
        <f>VLOOKUP(Mapping!$I60,_ECB_CS,4,FALSE)</f>
        <v>0</v>
      </c>
      <c r="Y60" s="26">
        <f>VLOOKUP(Mapping!$H60,_CEUS,2,FALSE)</f>
        <v>1.1301369863013697</v>
      </c>
      <c r="Z60" s="26">
        <f>VLOOKUP(Mapping!$H60,_CEUS,3,FALSE)</f>
        <v>8.1050228310502279E-2</v>
      </c>
      <c r="AA60" s="32" t="s">
        <v>51</v>
      </c>
      <c r="AB60" s="177" t="s">
        <v>234</v>
      </c>
      <c r="AD60" s="194" t="str">
        <f t="shared" si="2"/>
        <v>E</v>
      </c>
      <c r="AE60" s="176" t="str">
        <f t="shared" si="3"/>
        <v>Fire station, clinic, hospital, police station, transportation</v>
      </c>
    </row>
    <row r="61" spans="1:31">
      <c r="A61" s="27" t="s">
        <v>288</v>
      </c>
      <c r="B61" s="26">
        <f>VLOOKUP(Mapping!$E61,_90_1_2001,2,FALSE)</f>
        <v>0.5</v>
      </c>
      <c r="C61" s="26">
        <f>VLOOKUP(Mapping!$D61,_90_1_2007,2,FALSE)</f>
        <v>0.5</v>
      </c>
      <c r="D61" s="26">
        <f>VLOOKUP(Mapping!$C61,_90_1_2010,2,FALSE)</f>
        <v>0.41</v>
      </c>
      <c r="E61" s="26" t="str">
        <f>VLOOKUP(Mapping!$C61,_90_1_2010,3,FALSE)</f>
        <v xml:space="preserve"> Width &lt; 8 ft  </v>
      </c>
      <c r="F61" s="26">
        <f>VLOOKUP(Mapping!$B61,_90_1_2016BM,2,FALSE)</f>
        <v>0.5</v>
      </c>
      <c r="G61" s="134">
        <v>1</v>
      </c>
      <c r="H61" s="169">
        <f>VLOOKUP(Mapping!$B61,_90_1_2016BM,3,FALSE)</f>
        <v>0.25</v>
      </c>
      <c r="I61" s="26">
        <f>VLOOKUP(Mapping!G61,_Plugs,13,FALSE)</f>
        <v>0.34481488715257669</v>
      </c>
      <c r="J61" s="231">
        <f>VLOOKUP(Mapping!$F61,_SSPC_90.1,3,FALSE)</f>
        <v>1</v>
      </c>
      <c r="K61" s="26">
        <f>VLOOKUP(Mapping!$G61,_Plugs,14,FALSE)</f>
        <v>2</v>
      </c>
      <c r="L61" s="26">
        <f>VLOOKUP(Mapping!$G61,_Plugs,15,FALSE)</f>
        <v>0.18587360594795541</v>
      </c>
      <c r="M61" s="26">
        <f>VLOOKUP(Mapping!$G61,_Plugs,16,FALSE)</f>
        <v>1</v>
      </c>
      <c r="N61" s="135">
        <v>7</v>
      </c>
      <c r="O61" s="235">
        <f>VLOOKUP(Mapping!$I61,_ECB_CS,2,FALSE)</f>
        <v>1000</v>
      </c>
      <c r="P61" s="235">
        <f>VLOOKUP(Mapping!$J61,_ACM05,3,FALSE)</f>
        <v>250</v>
      </c>
      <c r="Q61" s="235">
        <f>VLOOKUP(Mapping!$J61,_ACM05,4,FALSE)</f>
        <v>250</v>
      </c>
      <c r="R61" s="172">
        <f>VLOOKUP(Mapping!$F61,_SSPC_90.1,5,FALSE)</f>
        <v>143</v>
      </c>
      <c r="S61" s="172">
        <f>VLOOKUP(Mapping!$F61,_SSPC_90.1,6,FALSE)</f>
        <v>580</v>
      </c>
      <c r="T61" s="172">
        <f>VLOOKUP(Mapping!$F61,_SSPC_90.1,7,FALSE)</f>
        <v>870</v>
      </c>
      <c r="U61" s="26">
        <f>VLOOKUP(Mapping!$F61,_SSPC_90.1,4,FALSE)</f>
        <v>0.25</v>
      </c>
      <c r="V61" s="231">
        <f>VLOOKUP(Mapping!$I61,_ECB_CS,5,FALSE)</f>
        <v>0.05</v>
      </c>
      <c r="W61" s="135">
        <f>VLOOKUP(Mapping!$J61,_ACM05,6,FALSE)</f>
        <v>0</v>
      </c>
      <c r="X61" s="172">
        <f>VLOOKUP(Mapping!$I61,_ECB_CS,4,FALSE)</f>
        <v>0</v>
      </c>
      <c r="Y61" s="26">
        <f>VLOOKUP(Mapping!$H61,_CEUS,2,FALSE)</f>
        <v>2.2831050228310501E-2</v>
      </c>
      <c r="Z61" s="26">
        <f>VLOOKUP(Mapping!$H61,_CEUS,3,FALSE)</f>
        <v>6.6210045662100453E-2</v>
      </c>
      <c r="AA61" s="32" t="s">
        <v>51</v>
      </c>
      <c r="AB61" s="177" t="s">
        <v>221</v>
      </c>
      <c r="AD61" s="194" t="str">
        <f t="shared" si="2"/>
        <v>J</v>
      </c>
      <c r="AE61" s="176" t="str">
        <f t="shared" si="3"/>
        <v>Automotive facility, workshop, manufacturing facility</v>
      </c>
    </row>
    <row r="62" spans="1:31">
      <c r="A62" s="27" t="s">
        <v>289</v>
      </c>
      <c r="B62" s="26">
        <f>VLOOKUP(Mapping!$E62,_90_1_2001,2,FALSE)</f>
        <v>0.7</v>
      </c>
      <c r="C62" s="26">
        <f>VLOOKUP(Mapping!$D62,_90_1_2007,2,FALSE)</f>
        <v>0.5</v>
      </c>
      <c r="D62" s="26">
        <f>VLOOKUP(Mapping!$C62,_90_1_2010,2,FALSE)</f>
        <v>0.66</v>
      </c>
      <c r="E62" s="26" t="str">
        <f>VLOOKUP(Mapping!$C62,_90_1_2010,3,FALSE)</f>
        <v xml:space="preserve"> Width&lt;8 ft  </v>
      </c>
      <c r="F62" s="26">
        <f>VLOOKUP(Mapping!$B62,_90_1_2016BM,2,FALSE)</f>
        <v>0.5</v>
      </c>
      <c r="G62" s="134">
        <v>1</v>
      </c>
      <c r="H62" s="169">
        <f>VLOOKUP(Mapping!$B62,_90_1_2016BM,3,FALSE)</f>
        <v>0.25</v>
      </c>
      <c r="I62" s="26" t="str">
        <f>VLOOKUP(Mapping!G62,_Plugs,13,FALSE)</f>
        <v>UWBD</v>
      </c>
      <c r="J62" s="231" t="str">
        <f>VLOOKUP(Mapping!$F62,_SSPC_90.1,3,FALSE)</f>
        <v>UWBD</v>
      </c>
      <c r="K62" s="26" t="str">
        <f>VLOOKUP(Mapping!$G62,_Plugs,14,FALSE)</f>
        <v>UWBD</v>
      </c>
      <c r="L62" s="26" t="str">
        <f>VLOOKUP(Mapping!$G62,_Plugs,15,FALSE)</f>
        <v>UWBD</v>
      </c>
      <c r="M62" s="26" t="str">
        <f>VLOOKUP(Mapping!$G62,_Plugs,16,FALSE)</f>
        <v>UWBD</v>
      </c>
      <c r="N62" s="135">
        <v>7</v>
      </c>
      <c r="O62" s="235">
        <f>VLOOKUP(Mapping!$I62,_ECB_CS,2,FALSE)</f>
        <v>1000</v>
      </c>
      <c r="P62" s="235">
        <f>VLOOKUP(Mapping!$J62,_ACM05,3,FALSE)</f>
        <v>250</v>
      </c>
      <c r="Q62" s="235">
        <f>VLOOKUP(Mapping!$J62,_ACM05,4,FALSE)</f>
        <v>250</v>
      </c>
      <c r="R62" s="172" t="str">
        <f>VLOOKUP(Mapping!$F62,_SSPC_90.1,5,FALSE)</f>
        <v>UWBD</v>
      </c>
      <c r="S62" s="172" t="str">
        <f>VLOOKUP(Mapping!$F62,_SSPC_90.1,6,FALSE)</f>
        <v>UWBD</v>
      </c>
      <c r="T62" s="172" t="str">
        <f>VLOOKUP(Mapping!$F62,_SSPC_90.1,7,FALSE)</f>
        <v>UWBD</v>
      </c>
      <c r="U62" s="26" t="str">
        <f>VLOOKUP(Mapping!$F62,_SSPC_90.1,4,FALSE)</f>
        <v>UWBD</v>
      </c>
      <c r="V62" s="231">
        <f>VLOOKUP(Mapping!$I62,_ECB_CS,5,FALSE)</f>
        <v>0.05</v>
      </c>
      <c r="W62" s="135">
        <f>VLOOKUP(Mapping!$J62,_ACM05,6,FALSE)</f>
        <v>0</v>
      </c>
      <c r="X62" s="172">
        <f>VLOOKUP(Mapping!$I62,_ECB_CS,4,FALSE)</f>
        <v>0</v>
      </c>
      <c r="Y62" s="26">
        <f>VLOOKUP(Mapping!$H62,_CEUS,2,FALSE)</f>
        <v>2.2831050228310501E-2</v>
      </c>
      <c r="Z62" s="26">
        <f>VLOOKUP(Mapping!$H62,_CEUS,3,FALSE)</f>
        <v>6.6210045662100453E-2</v>
      </c>
      <c r="AA62" s="32" t="s">
        <v>51</v>
      </c>
      <c r="AB62" s="177" t="s">
        <v>266</v>
      </c>
      <c r="AD62" s="194" t="str">
        <f t="shared" si="2"/>
        <v>ps</v>
      </c>
      <c r="AE62" s="176" t="str">
        <f t="shared" si="3"/>
        <v>Schedule is inherited</v>
      </c>
    </row>
    <row r="63" spans="1:31">
      <c r="A63" s="27" t="s">
        <v>290</v>
      </c>
      <c r="B63" s="26">
        <f>VLOOKUP(Mapping!$E63,_90_1_2001,2,FALSE)</f>
        <v>2.1</v>
      </c>
      <c r="C63" s="26">
        <f>VLOOKUP(Mapping!$D63,_90_1_2007,2,FALSE)</f>
        <v>1.9</v>
      </c>
      <c r="D63" s="26">
        <f>VLOOKUP(Mapping!$C63,_90_1_2010,2,FALSE)</f>
        <v>1.72</v>
      </c>
      <c r="E63" s="26">
        <f>VLOOKUP(Mapping!$C63,_90_1_2010,3,FALSE)</f>
        <v>6</v>
      </c>
      <c r="F63" s="26">
        <f>VLOOKUP(Mapping!$B63,_90_1_2016BM,2,FALSE)</f>
        <v>1.9</v>
      </c>
      <c r="G63" s="134">
        <v>1</v>
      </c>
      <c r="H63" s="169">
        <f>VLOOKUP(Mapping!$B63,_90_1_2016BM,3,FALSE)</f>
        <v>0.1</v>
      </c>
      <c r="I63" s="26">
        <f>VLOOKUP(Mapping!G63,_Plugs,13,FALSE)</f>
        <v>1.4928322661656475</v>
      </c>
      <c r="J63" s="231">
        <f>VLOOKUP(Mapping!$F63,_SSPC_90.1,3,FALSE)</f>
        <v>0.25</v>
      </c>
      <c r="K63" s="26">
        <f>VLOOKUP(Mapping!$G63,_Plugs,14,FALSE)</f>
        <v>2</v>
      </c>
      <c r="L63" s="26">
        <f>VLOOKUP(Mapping!$G63,_Plugs,15,FALSE)</f>
        <v>1.1152416356877324</v>
      </c>
      <c r="M63" s="26">
        <f>VLOOKUP(Mapping!$G63,_Plugs,16,FALSE)</f>
        <v>1</v>
      </c>
      <c r="N63" s="135">
        <v>7</v>
      </c>
      <c r="O63" s="235">
        <f>VLOOKUP(Mapping!$I63,_ECB_CS,2,FALSE)</f>
        <v>75</v>
      </c>
      <c r="P63" s="235">
        <f>VLOOKUP(Mapping!$J63,_ACM05,3,FALSE)</f>
        <v>250</v>
      </c>
      <c r="Q63" s="235">
        <f>VLOOKUP(Mapping!$J63,_ACM05,4,FALSE)</f>
        <v>200</v>
      </c>
      <c r="R63" s="172">
        <f>VLOOKUP(Mapping!$F63,_SSPC_90.1,5,FALSE)</f>
        <v>14</v>
      </c>
      <c r="S63" s="172">
        <f>VLOOKUP(Mapping!$F63,_SSPC_90.1,6,FALSE)</f>
        <v>250</v>
      </c>
      <c r="T63" s="172">
        <f>VLOOKUP(Mapping!$F63,_SSPC_90.1,7,FALSE)</f>
        <v>200</v>
      </c>
      <c r="U63" s="26">
        <f>VLOOKUP(Mapping!$F63,_SSPC_90.1,4,FALSE)</f>
        <v>0.41</v>
      </c>
      <c r="V63" s="231">
        <f>VLOOKUP(Mapping!$I63,_ECB_CS,5,FALSE)</f>
        <v>0.2</v>
      </c>
      <c r="W63" s="135">
        <f>VLOOKUP(Mapping!$J63,_ACM05,6,FALSE)</f>
        <v>120</v>
      </c>
      <c r="X63" s="172">
        <f>VLOOKUP(Mapping!$I63,_ECB_CS,4,FALSE)</f>
        <v>100</v>
      </c>
      <c r="Y63" s="26">
        <f>VLOOKUP(Mapping!$H63,_CEUS,2,FALSE)</f>
        <v>0.17123287671232876</v>
      </c>
      <c r="Z63" s="26">
        <f>VLOOKUP(Mapping!$H63,_CEUS,3,FALSE)</f>
        <v>4.6803652968036527E-2</v>
      </c>
      <c r="AA63" s="32" t="s">
        <v>51</v>
      </c>
      <c r="AB63" s="177" t="s">
        <v>225</v>
      </c>
      <c r="AD63" s="194" t="str">
        <f t="shared" si="2"/>
        <v>A</v>
      </c>
      <c r="AE63" s="176" t="str">
        <f t="shared" si="3"/>
        <v>courthouse, office, post office, town hall</v>
      </c>
    </row>
    <row r="64" spans="1:31">
      <c r="A64" s="27" t="s">
        <v>291</v>
      </c>
      <c r="B64" s="26">
        <f>VLOOKUP(Mapping!$E64,_90_1_2001,2,FALSE)</f>
        <v>0.8</v>
      </c>
      <c r="C64" s="26">
        <f>VLOOKUP(Mapping!$D64,_90_1_2007,2,FALSE)</f>
        <v>1.2</v>
      </c>
      <c r="D64" s="26">
        <f>VLOOKUP(Mapping!$C64,_90_1_2010,2,FALSE)</f>
        <v>0.95</v>
      </c>
      <c r="E64" s="26">
        <f>VLOOKUP(Mapping!$C64,_90_1_2010,3,FALSE)</f>
        <v>6</v>
      </c>
      <c r="F64" s="26">
        <f>VLOOKUP(Mapping!$B64,_90_1_2016BM,2,FALSE)</f>
        <v>2.14</v>
      </c>
      <c r="G64" s="134">
        <v>1</v>
      </c>
      <c r="H64" s="169">
        <f>VLOOKUP(Mapping!$B64,_90_1_2016BM,3,FALSE)</f>
        <v>0.35</v>
      </c>
      <c r="I64" s="26" t="str">
        <f>VLOOKUP(Mapping!G64,_Plugs,13,FALSE)</f>
        <v>n.a.</v>
      </c>
      <c r="J64" s="231" t="str">
        <f>VLOOKUP(Mapping!$F64,_SSPC_90.1,3,FALSE)</f>
        <v>n. a.</v>
      </c>
      <c r="K64" s="26" t="str">
        <f>VLOOKUP(Mapping!$G64,_Plugs,14,FALSE)</f>
        <v>n.a.</v>
      </c>
      <c r="L64" s="26" t="str">
        <f>VLOOKUP(Mapping!$G64,_Plugs,15,FALSE)</f>
        <v>n.a.</v>
      </c>
      <c r="M64" s="26" t="str">
        <f>VLOOKUP(Mapping!$G64,_Plugs,16,FALSE)</f>
        <v>n.a.</v>
      </c>
      <c r="N64" s="135">
        <v>7</v>
      </c>
      <c r="O64" s="235" t="str">
        <f>VLOOKUP(Mapping!$I64,_ECB_CS,2,FALSE)</f>
        <v>n.a.</v>
      </c>
      <c r="P64" s="235">
        <f>VLOOKUP(Mapping!$J64,_ACM05,3,FALSE)</f>
        <v>250</v>
      </c>
      <c r="Q64" s="235">
        <f>VLOOKUP(Mapping!$J64,_ACM05,4,FALSE)</f>
        <v>200</v>
      </c>
      <c r="R64" s="172" t="str">
        <f>VLOOKUP(Mapping!$F64,_SSPC_90.1,5,FALSE)</f>
        <v>n. a.</v>
      </c>
      <c r="S64" s="172" t="str">
        <f>VLOOKUP(Mapping!$F64,_SSPC_90.1,6,FALSE)</f>
        <v>n. a.</v>
      </c>
      <c r="T64" s="172" t="str">
        <f>VLOOKUP(Mapping!$F64,_SSPC_90.1,7,FALSE)</f>
        <v>n. a.</v>
      </c>
      <c r="U64" s="26" t="str">
        <f>VLOOKUP(Mapping!$F64,_SSPC_90.1,4,FALSE)</f>
        <v>n. a.</v>
      </c>
      <c r="V64" s="231" t="str">
        <f>VLOOKUP(Mapping!$I64,_ECB_CS,5,FALSE)</f>
        <v>n.a.</v>
      </c>
      <c r="W64" s="135">
        <f>VLOOKUP(Mapping!$J64,_ACM05,6,FALSE)</f>
        <v>120</v>
      </c>
      <c r="X64" s="172" t="str">
        <f>VLOOKUP(Mapping!$I64,_ECB_CS,4,FALSE)</f>
        <v>n.a.</v>
      </c>
      <c r="Y64" s="26" t="str">
        <f>VLOOKUP(Mapping!$H64,_CEUS,2,FALSE)</f>
        <v>n.a.</v>
      </c>
      <c r="Z64" s="26" t="str">
        <f>VLOOKUP(Mapping!$H64,_CEUS,3,FALSE)</f>
        <v>n.a.</v>
      </c>
      <c r="AA64" s="32" t="s">
        <v>51</v>
      </c>
      <c r="AB64" s="177" t="s">
        <v>292</v>
      </c>
      <c r="AD64" s="194" t="str">
        <f t="shared" si="2"/>
        <v>X2</v>
      </c>
      <c r="AE64" s="176" t="str">
        <f t="shared" si="3"/>
        <v>Data center</v>
      </c>
    </row>
    <row r="65" spans="1:31">
      <c r="A65" s="27" t="s">
        <v>293</v>
      </c>
      <c r="B65" s="26">
        <f>VLOOKUP(Mapping!$E65,_90_1_2001,2,FALSE)</f>
        <v>1.8</v>
      </c>
      <c r="C65" s="26">
        <f>VLOOKUP(Mapping!$D65,_90_1_2007,2,FALSE)</f>
        <v>1.4</v>
      </c>
      <c r="D65" s="26">
        <f>VLOOKUP(Mapping!$C65,_90_1_2010,2,FALSE)</f>
        <v>0.9</v>
      </c>
      <c r="E65" s="26" t="str">
        <f>VLOOKUP(Mapping!$C65,_90_1_2010,3,FALSE)</f>
        <v>n.a.</v>
      </c>
      <c r="F65" s="26">
        <f>VLOOKUP(Mapping!$B65,_90_1_2016BM,2,FALSE)</f>
        <v>1.3</v>
      </c>
      <c r="G65" s="134">
        <v>1</v>
      </c>
      <c r="H65" s="169">
        <f>VLOOKUP(Mapping!$B65,_90_1_2016BM,3,FALSE)</f>
        <v>0.35</v>
      </c>
      <c r="I65" s="26">
        <f>VLOOKUP(Mapping!G65,_Plugs,13,FALSE)</f>
        <v>1.2629966462352749</v>
      </c>
      <c r="J65" s="231">
        <f>VLOOKUP(Mapping!$F65,_SSPC_90.1,3,FALSE)</f>
        <v>6</v>
      </c>
      <c r="K65" s="26">
        <f>VLOOKUP(Mapping!$G65,_Plugs,14,FALSE)</f>
        <v>2</v>
      </c>
      <c r="L65" s="26">
        <f>VLOOKUP(Mapping!$G65,_Plugs,15,FALSE)</f>
        <v>0.92936802973977695</v>
      </c>
      <c r="M65" s="26">
        <f>VLOOKUP(Mapping!$G65,_Plugs,16,FALSE)</f>
        <v>1</v>
      </c>
      <c r="N65" s="135">
        <v>7</v>
      </c>
      <c r="O65" s="235">
        <f>VLOOKUP(Mapping!$I65,_ECB_CS,2,FALSE)</f>
        <v>100</v>
      </c>
      <c r="P65" s="235">
        <f>VLOOKUP(Mapping!$J65,_ACM05,3,FALSE)</f>
        <v>275</v>
      </c>
      <c r="Q65" s="235">
        <f>VLOOKUP(Mapping!$J65,_ACM05,4,FALSE)</f>
        <v>275</v>
      </c>
      <c r="R65" s="172">
        <f>VLOOKUP(Mapping!$F65,_SSPC_90.1,5,FALSE)</f>
        <v>10</v>
      </c>
      <c r="S65" s="172">
        <f>VLOOKUP(Mapping!$F65,_SSPC_90.1,6,FALSE)</f>
        <v>275</v>
      </c>
      <c r="T65" s="172">
        <f>VLOOKUP(Mapping!$F65,_SSPC_90.1,7,FALSE)</f>
        <v>275</v>
      </c>
      <c r="U65" s="26">
        <f>VLOOKUP(Mapping!$F65,_SSPC_90.1,4,FALSE)</f>
        <v>0.93</v>
      </c>
      <c r="V65" s="231">
        <f>VLOOKUP(Mapping!$I65,_ECB_CS,5,FALSE)</f>
        <v>0.2</v>
      </c>
      <c r="W65" s="135">
        <f>VLOOKUP(Mapping!$J65,_ACM05,6,FALSE)</f>
        <v>385</v>
      </c>
      <c r="X65" s="172">
        <f>VLOOKUP(Mapping!$I65,_ECB_CS,4,FALSE)</f>
        <v>400</v>
      </c>
      <c r="Y65" s="26">
        <f>VLOOKUP(Mapping!$H65,_CEUS,2,FALSE)</f>
        <v>17.534246575342468</v>
      </c>
      <c r="Z65" s="26">
        <f>VLOOKUP(Mapping!$H65,_CEUS,3,FALSE)</f>
        <v>1.1267123287671232</v>
      </c>
      <c r="AA65" s="32" t="s">
        <v>51</v>
      </c>
      <c r="AB65" s="177" t="s">
        <v>227</v>
      </c>
      <c r="AD65" s="194" t="str">
        <f t="shared" si="2"/>
        <v>B</v>
      </c>
      <c r="AE65" s="176" t="str">
        <f t="shared" si="3"/>
        <v>Cafeteria, fast food, family dining, bar, lounge</v>
      </c>
    </row>
    <row r="66" spans="1:31">
      <c r="A66" s="27" t="s">
        <v>294</v>
      </c>
      <c r="B66" s="26">
        <f>VLOOKUP(Mapping!$E66,_90_1_2001,2,FALSE)</f>
        <v>1.9</v>
      </c>
      <c r="C66" s="26">
        <f>VLOOKUP(Mapping!$D66,_90_1_2007,2,FALSE)</f>
        <v>1.6</v>
      </c>
      <c r="D66" s="26">
        <f>VLOOKUP(Mapping!$C66,_90_1_2010,2,FALSE)</f>
        <v>0.89</v>
      </c>
      <c r="E66" s="26" t="str">
        <f>VLOOKUP(Mapping!$C66,_90_1_2010,3,FALSE)</f>
        <v>n.a.</v>
      </c>
      <c r="F66" s="26">
        <f>VLOOKUP(Mapping!$B66,_90_1_2016BM,2,FALSE)</f>
        <v>3.32</v>
      </c>
      <c r="G66" s="134">
        <v>1</v>
      </c>
      <c r="H66" s="169">
        <f>VLOOKUP(Mapping!$B66,_90_1_2016BM,3,FALSE)</f>
        <v>0.35</v>
      </c>
      <c r="I66" s="26">
        <f>VLOOKUP(Mapping!G66,_Plugs,13,FALSE)</f>
        <v>1.3160573887824656</v>
      </c>
      <c r="J66" s="231">
        <f>VLOOKUP(Mapping!$F66,_SSPC_90.1,3,FALSE)</f>
        <v>6</v>
      </c>
      <c r="K66" s="26">
        <f>VLOOKUP(Mapping!$G66,_Plugs,14,FALSE)</f>
        <v>2</v>
      </c>
      <c r="L66" s="26">
        <f>VLOOKUP(Mapping!$G66,_Plugs,15,FALSE)</f>
        <v>0.92936802973977695</v>
      </c>
      <c r="M66" s="26">
        <f>VLOOKUP(Mapping!$G66,_Plugs,16,FALSE)</f>
        <v>1</v>
      </c>
      <c r="N66" s="135">
        <v>7</v>
      </c>
      <c r="O66" s="235">
        <f>VLOOKUP(Mapping!$I66,_ECB_CS,2,FALSE)</f>
        <v>100</v>
      </c>
      <c r="P66" s="235">
        <f>VLOOKUP(Mapping!$J66,_ACM05,3,FALSE)</f>
        <v>275</v>
      </c>
      <c r="Q66" s="235">
        <f>VLOOKUP(Mapping!$J66,_ACM05,4,FALSE)</f>
        <v>275</v>
      </c>
      <c r="R66" s="172">
        <f>VLOOKUP(Mapping!$F66,_SSPC_90.1,5,FALSE)</f>
        <v>10</v>
      </c>
      <c r="S66" s="172">
        <f>VLOOKUP(Mapping!$F66,_SSPC_90.1,6,FALSE)</f>
        <v>275</v>
      </c>
      <c r="T66" s="172">
        <f>VLOOKUP(Mapping!$F66,_SSPC_90.1,7,FALSE)</f>
        <v>275</v>
      </c>
      <c r="U66" s="26">
        <f>VLOOKUP(Mapping!$F66,_SSPC_90.1,4,FALSE)</f>
        <v>0.93</v>
      </c>
      <c r="V66" s="231">
        <f>VLOOKUP(Mapping!$I66,_ECB_CS,5,FALSE)</f>
        <v>0.3</v>
      </c>
      <c r="W66" s="135">
        <f>VLOOKUP(Mapping!$J66,_ACM05,6,FALSE)</f>
        <v>385</v>
      </c>
      <c r="X66" s="172">
        <f>VLOOKUP(Mapping!$I66,_ECB_CS,4,FALSE)</f>
        <v>300</v>
      </c>
      <c r="Y66" s="26">
        <f>VLOOKUP(Mapping!$H66,_CEUS,2,FALSE)</f>
        <v>17.534246575342468</v>
      </c>
      <c r="Z66" s="26">
        <f>VLOOKUP(Mapping!$H66,_CEUS,3,FALSE)</f>
        <v>1.1267123287671232</v>
      </c>
      <c r="AA66" s="32" t="s">
        <v>51</v>
      </c>
      <c r="AB66" s="177" t="s">
        <v>227</v>
      </c>
      <c r="AD66" s="194" t="str">
        <f t="shared" si="2"/>
        <v>B</v>
      </c>
      <c r="AE66" s="176" t="str">
        <f t="shared" si="3"/>
        <v>Cafeteria, fast food, family dining, bar, lounge</v>
      </c>
    </row>
    <row r="67" spans="1:31">
      <c r="A67" s="27" t="s">
        <v>295</v>
      </c>
      <c r="B67" s="26">
        <f>VLOOKUP(Mapping!$E67,_90_1_2001,2,FALSE)</f>
        <v>1.2</v>
      </c>
      <c r="C67" s="26">
        <f>VLOOKUP(Mapping!$D67,_90_1_2007,2,FALSE)</f>
        <v>1.4</v>
      </c>
      <c r="D67" s="26">
        <f>VLOOKUP(Mapping!$C67,_90_1_2010,2,FALSE)</f>
        <v>1.31</v>
      </c>
      <c r="E67" s="26">
        <f>VLOOKUP(Mapping!$C67,_90_1_2010,3,FALSE)</f>
        <v>4</v>
      </c>
      <c r="F67" s="26">
        <f>VLOOKUP(Mapping!$B67,_90_1_2016BM,2,FALSE)</f>
        <v>1.4</v>
      </c>
      <c r="G67" s="134">
        <v>1</v>
      </c>
      <c r="H67" s="169">
        <f>VLOOKUP(Mapping!$B67,_90_1_2016BM,3,FALSE)</f>
        <v>0.35</v>
      </c>
      <c r="I67" s="26">
        <f>VLOOKUP(Mapping!G67,_Plugs,13,FALSE)</f>
        <v>1.2629966462352749</v>
      </c>
      <c r="J67" s="231">
        <f>VLOOKUP(Mapping!$F67,_SSPC_90.1,3,FALSE)</f>
        <v>6</v>
      </c>
      <c r="K67" s="26">
        <f>VLOOKUP(Mapping!$G67,_Plugs,14,FALSE)</f>
        <v>2</v>
      </c>
      <c r="L67" s="26">
        <f>VLOOKUP(Mapping!$G67,_Plugs,15,FALSE)</f>
        <v>0.92936802973977695</v>
      </c>
      <c r="M67" s="26">
        <f>VLOOKUP(Mapping!$G67,_Plugs,16,FALSE)</f>
        <v>1</v>
      </c>
      <c r="N67" s="135">
        <v>7</v>
      </c>
      <c r="O67" s="235">
        <f>VLOOKUP(Mapping!$I67,_ECB_CS,2,FALSE)</f>
        <v>100</v>
      </c>
      <c r="P67" s="235">
        <f>VLOOKUP(Mapping!$J67,_ACM05,3,FALSE)</f>
        <v>275</v>
      </c>
      <c r="Q67" s="235">
        <f>VLOOKUP(Mapping!$J67,_ACM05,4,FALSE)</f>
        <v>275</v>
      </c>
      <c r="R67" s="172">
        <f>VLOOKUP(Mapping!$F67,_SSPC_90.1,5,FALSE)</f>
        <v>10</v>
      </c>
      <c r="S67" s="172">
        <f>VLOOKUP(Mapping!$F67,_SSPC_90.1,6,FALSE)</f>
        <v>275</v>
      </c>
      <c r="T67" s="172">
        <f>VLOOKUP(Mapping!$F67,_SSPC_90.1,7,FALSE)</f>
        <v>275</v>
      </c>
      <c r="U67" s="26">
        <f>VLOOKUP(Mapping!$F67,_SSPC_90.1,4,FALSE)</f>
        <v>0.93</v>
      </c>
      <c r="V67" s="231">
        <f>VLOOKUP(Mapping!$I67,_ECB_CS,5,FALSE)</f>
        <v>0.3</v>
      </c>
      <c r="W67" s="135">
        <f>VLOOKUP(Mapping!$J67,_ACM05,6,FALSE)</f>
        <v>120</v>
      </c>
      <c r="X67" s="172">
        <f>VLOOKUP(Mapping!$I67,_ECB_CS,4,FALSE)</f>
        <v>300</v>
      </c>
      <c r="Y67" s="26">
        <f>VLOOKUP(Mapping!$H67,_CEUS,2,FALSE)</f>
        <v>17.534246575342468</v>
      </c>
      <c r="Z67" s="26">
        <f>VLOOKUP(Mapping!$H67,_CEUS,3,FALSE)</f>
        <v>1.1267123287671232</v>
      </c>
      <c r="AA67" s="32" t="s">
        <v>51</v>
      </c>
      <c r="AB67" s="177" t="s">
        <v>227</v>
      </c>
      <c r="AD67" s="194" t="str">
        <f t="shared" si="2"/>
        <v>B</v>
      </c>
      <c r="AE67" s="176" t="str">
        <f t="shared" si="3"/>
        <v>Cafeteria, fast food, family dining, bar, lounge</v>
      </c>
    </row>
    <row r="68" spans="1:31">
      <c r="A68" s="27" t="s">
        <v>296</v>
      </c>
      <c r="B68" s="26">
        <f>VLOOKUP(Mapping!$E68,_90_1_2001,2,FALSE)</f>
        <v>1.8</v>
      </c>
      <c r="C68" s="26">
        <f>VLOOKUP(Mapping!$D68,_90_1_2007,2,FALSE)</f>
        <v>1.4</v>
      </c>
      <c r="D68" s="26">
        <f>VLOOKUP(Mapping!$C68,_90_1_2010,2,FALSE)</f>
        <v>0.9</v>
      </c>
      <c r="E68" s="26" t="str">
        <f>VLOOKUP(Mapping!$C68,_90_1_2010,3,FALSE)</f>
        <v>n.a.</v>
      </c>
      <c r="F68" s="26">
        <f>VLOOKUP(Mapping!$B68,_90_1_2016BM,2,FALSE)</f>
        <v>0.9</v>
      </c>
      <c r="G68" s="134">
        <v>1</v>
      </c>
      <c r="H68" s="169">
        <f>VLOOKUP(Mapping!$B68,_90_1_2016BM,3,FALSE)</f>
        <v>0.35</v>
      </c>
      <c r="I68" s="26">
        <f>VLOOKUP(Mapping!G68,_Plugs,13,FALSE)</f>
        <v>1.3683549857758452</v>
      </c>
      <c r="J68" s="231">
        <f>VLOOKUP(Mapping!$F68,_SSPC_90.1,3,FALSE)</f>
        <v>6</v>
      </c>
      <c r="K68" s="26">
        <f>VLOOKUP(Mapping!$G68,_Plugs,14,FALSE)</f>
        <v>2</v>
      </c>
      <c r="L68" s="26">
        <f>VLOOKUP(Mapping!$G68,_Plugs,15,FALSE)</f>
        <v>0.92936802973977695</v>
      </c>
      <c r="M68" s="26">
        <f>VLOOKUP(Mapping!$G68,_Plugs,16,FALSE)</f>
        <v>1</v>
      </c>
      <c r="N68" s="135">
        <v>7</v>
      </c>
      <c r="O68" s="235">
        <f>VLOOKUP(Mapping!$I68,_ECB_CS,2,FALSE)</f>
        <v>100</v>
      </c>
      <c r="P68" s="235">
        <f>VLOOKUP(Mapping!$J68,_ACM05,3,FALSE)</f>
        <v>275</v>
      </c>
      <c r="Q68" s="235">
        <f>VLOOKUP(Mapping!$J68,_ACM05,4,FALSE)</f>
        <v>275</v>
      </c>
      <c r="R68" s="172">
        <f>VLOOKUP(Mapping!$F68,_SSPC_90.1,5,FALSE)</f>
        <v>10</v>
      </c>
      <c r="S68" s="172">
        <f>VLOOKUP(Mapping!$F68,_SSPC_90.1,6,FALSE)</f>
        <v>275</v>
      </c>
      <c r="T68" s="172">
        <f>VLOOKUP(Mapping!$F68,_SSPC_90.1,7,FALSE)</f>
        <v>275</v>
      </c>
      <c r="U68" s="26">
        <f>VLOOKUP(Mapping!$F68,_SSPC_90.1,4,FALSE)</f>
        <v>0.93</v>
      </c>
      <c r="V68" s="231">
        <f>VLOOKUP(Mapping!$I68,_ECB_CS,5,FALSE)</f>
        <v>0.2</v>
      </c>
      <c r="W68" s="135">
        <f>VLOOKUP(Mapping!$J68,_ACM05,6,FALSE)</f>
        <v>385</v>
      </c>
      <c r="X68" s="172">
        <f>VLOOKUP(Mapping!$I68,_ECB_CS,4,FALSE)</f>
        <v>400</v>
      </c>
      <c r="Y68" s="26">
        <f>VLOOKUP(Mapping!$H68,_CEUS,2,FALSE)</f>
        <v>17.534246575342468</v>
      </c>
      <c r="Z68" s="26">
        <f>VLOOKUP(Mapping!$H68,_CEUS,3,FALSE)</f>
        <v>1.1267123287671232</v>
      </c>
      <c r="AA68" s="32" t="s">
        <v>47</v>
      </c>
      <c r="AB68" s="177" t="s">
        <v>227</v>
      </c>
      <c r="AD68" s="194" t="str">
        <f t="shared" si="2"/>
        <v>B</v>
      </c>
      <c r="AE68" s="176" t="str">
        <f t="shared" si="3"/>
        <v>Cafeteria, fast food, family dining, bar, lounge</v>
      </c>
    </row>
    <row r="69" spans="1:31">
      <c r="A69" s="27" t="s">
        <v>297</v>
      </c>
      <c r="B69" s="26">
        <f>VLOOKUP(Mapping!$E69,_90_1_2001,2,FALSE)</f>
        <v>2.2000000000000002</v>
      </c>
      <c r="C69" s="26">
        <f>VLOOKUP(Mapping!$D69,_90_1_2007,2,FALSE)</f>
        <v>2.1</v>
      </c>
      <c r="D69" s="26">
        <f>VLOOKUP(Mapping!$C69,_90_1_2010,2,FALSE)</f>
        <v>0.89</v>
      </c>
      <c r="E69" s="26">
        <f>VLOOKUP(Mapping!$C69,_90_1_2010,3,FALSE)</f>
        <v>4</v>
      </c>
      <c r="F69" s="26">
        <f>VLOOKUP(Mapping!$B69,_90_1_2016BM,2,FALSE)</f>
        <v>2.1</v>
      </c>
      <c r="G69" s="134">
        <v>1</v>
      </c>
      <c r="H69" s="169">
        <f>VLOOKUP(Mapping!$B69,_90_1_2016BM,3,FALSE)</f>
        <v>0.35</v>
      </c>
      <c r="I69" s="26">
        <f>VLOOKUP(Mapping!G69,_Plugs,13,FALSE)</f>
        <v>1.3160573887824656</v>
      </c>
      <c r="J69" s="231">
        <f>VLOOKUP(Mapping!$F69,_SSPC_90.1,3,FALSE)</f>
        <v>6</v>
      </c>
      <c r="K69" s="26">
        <f>VLOOKUP(Mapping!$G69,_Plugs,14,FALSE)</f>
        <v>2</v>
      </c>
      <c r="L69" s="26">
        <f>VLOOKUP(Mapping!$G69,_Plugs,15,FALSE)</f>
        <v>0.92936802973977695</v>
      </c>
      <c r="M69" s="26">
        <f>VLOOKUP(Mapping!$G69,_Plugs,16,FALSE)</f>
        <v>1</v>
      </c>
      <c r="N69" s="135">
        <v>7</v>
      </c>
      <c r="O69" s="235">
        <f>VLOOKUP(Mapping!$I69,_ECB_CS,2,FALSE)</f>
        <v>100</v>
      </c>
      <c r="P69" s="235">
        <f>VLOOKUP(Mapping!$J69,_ACM05,3,FALSE)</f>
        <v>250</v>
      </c>
      <c r="Q69" s="235">
        <f>VLOOKUP(Mapping!$J69,_ACM05,4,FALSE)</f>
        <v>250</v>
      </c>
      <c r="R69" s="172">
        <f>VLOOKUP(Mapping!$F69,_SSPC_90.1,5,FALSE)</f>
        <v>14</v>
      </c>
      <c r="S69" s="172">
        <f>VLOOKUP(Mapping!$F69,_SSPC_90.1,6,FALSE)</f>
        <v>275</v>
      </c>
      <c r="T69" s="172">
        <f>VLOOKUP(Mapping!$F69,_SSPC_90.1,7,FALSE)</f>
        <v>275</v>
      </c>
      <c r="U69" s="26">
        <f>VLOOKUP(Mapping!$F69,_SSPC_90.1,4,FALSE)</f>
        <v>0.71</v>
      </c>
      <c r="V69" s="231">
        <f>VLOOKUP(Mapping!$I69,_ECB_CS,5,FALSE)</f>
        <v>0.2</v>
      </c>
      <c r="W69" s="135">
        <f>VLOOKUP(Mapping!$J69,_ACM05,6,FALSE)</f>
        <v>0</v>
      </c>
      <c r="X69" s="172">
        <f>VLOOKUP(Mapping!$I69,_ECB_CS,4,FALSE)</f>
        <v>300</v>
      </c>
      <c r="Y69" s="26">
        <f>VLOOKUP(Mapping!$H69,_CEUS,2,FALSE)</f>
        <v>17.534246575342468</v>
      </c>
      <c r="Z69" s="26">
        <f>VLOOKUP(Mapping!$H69,_CEUS,3,FALSE)</f>
        <v>1.1267123287671232</v>
      </c>
      <c r="AA69" s="32" t="s">
        <v>35</v>
      </c>
      <c r="AB69" s="177" t="s">
        <v>227</v>
      </c>
      <c r="AD69" s="194" t="str">
        <f t="shared" si="2"/>
        <v>B</v>
      </c>
      <c r="AE69" s="176" t="str">
        <f t="shared" si="3"/>
        <v>Cafeteria, fast food, family dining, bar, lounge</v>
      </c>
    </row>
    <row r="70" spans="1:31">
      <c r="A70" s="27" t="s">
        <v>298</v>
      </c>
      <c r="B70" s="26">
        <f>VLOOKUP(Mapping!$E70,_90_1_2001,2,FALSE)</f>
        <v>1.4</v>
      </c>
      <c r="C70" s="26">
        <f>VLOOKUP(Mapping!$D70,_90_1_2007,2,FALSE)</f>
        <v>0.9</v>
      </c>
      <c r="D70" s="26">
        <f>VLOOKUP(Mapping!$C70,_90_1_2010,2,FALSE)</f>
        <v>0.65</v>
      </c>
      <c r="E70" s="26">
        <f>VLOOKUP(Mapping!$C70,_90_1_2010,3,FALSE)</f>
        <v>4</v>
      </c>
      <c r="F70" s="26">
        <f>VLOOKUP(Mapping!$B70,_90_1_2016BM,2,FALSE)</f>
        <v>0.9</v>
      </c>
      <c r="G70" s="134">
        <v>1</v>
      </c>
      <c r="H70" s="169">
        <f>VLOOKUP(Mapping!$B70,_90_1_2016BM,3,FALSE)</f>
        <v>0.35</v>
      </c>
      <c r="I70" s="26">
        <f>VLOOKUP(Mapping!G70,_Plugs,13,FALSE)</f>
        <v>1.3160573887824656</v>
      </c>
      <c r="J70" s="231">
        <f>VLOOKUP(Mapping!$F70,_SSPC_90.1,3,FALSE)</f>
        <v>6</v>
      </c>
      <c r="K70" s="26">
        <f>VLOOKUP(Mapping!$G70,_Plugs,14,FALSE)</f>
        <v>2</v>
      </c>
      <c r="L70" s="26">
        <f>VLOOKUP(Mapping!$G70,_Plugs,15,FALSE)</f>
        <v>0.92936802973977695</v>
      </c>
      <c r="M70" s="26">
        <f>VLOOKUP(Mapping!$G70,_Plugs,16,FALSE)</f>
        <v>1</v>
      </c>
      <c r="N70" s="135">
        <v>7</v>
      </c>
      <c r="O70" s="235">
        <f>VLOOKUP(Mapping!$I70,_ECB_CS,2,FALSE)</f>
        <v>100</v>
      </c>
      <c r="P70" s="235">
        <f>VLOOKUP(Mapping!$J70,_ACM05,3,FALSE)</f>
        <v>275</v>
      </c>
      <c r="Q70" s="235">
        <f>VLOOKUP(Mapping!$J70,_ACM05,4,FALSE)</f>
        <v>275</v>
      </c>
      <c r="R70" s="172">
        <f>VLOOKUP(Mapping!$F70,_SSPC_90.1,5,FALSE)</f>
        <v>14</v>
      </c>
      <c r="S70" s="172">
        <f>VLOOKUP(Mapping!$F70,_SSPC_90.1,6,FALSE)</f>
        <v>275</v>
      </c>
      <c r="T70" s="172">
        <f>VLOOKUP(Mapping!$F70,_SSPC_90.1,7,FALSE)</f>
        <v>275</v>
      </c>
      <c r="U70" s="26">
        <f>VLOOKUP(Mapping!$F70,_SSPC_90.1,4,FALSE)</f>
        <v>0.71</v>
      </c>
      <c r="V70" s="231">
        <f>VLOOKUP(Mapping!$I70,_ECB_CS,5,FALSE)</f>
        <v>0.2</v>
      </c>
      <c r="W70" s="135">
        <f>VLOOKUP(Mapping!$J70,_ACM05,6,FALSE)</f>
        <v>385</v>
      </c>
      <c r="X70" s="172">
        <f>VLOOKUP(Mapping!$I70,_ECB_CS,4,FALSE)</f>
        <v>300</v>
      </c>
      <c r="Y70" s="26">
        <f>VLOOKUP(Mapping!$H70,_CEUS,2,FALSE)</f>
        <v>17.534246575342468</v>
      </c>
      <c r="Z70" s="26">
        <f>VLOOKUP(Mapping!$H70,_CEUS,3,FALSE)</f>
        <v>1.1267123287671232</v>
      </c>
      <c r="AA70" s="32" t="s">
        <v>51</v>
      </c>
      <c r="AB70" s="177" t="s">
        <v>227</v>
      </c>
      <c r="AD70" s="194" t="str">
        <f t="shared" si="2"/>
        <v>B</v>
      </c>
      <c r="AE70" s="176" t="str">
        <f t="shared" si="3"/>
        <v>Cafeteria, fast food, family dining, bar, lounge</v>
      </c>
    </row>
    <row r="71" spans="1:31">
      <c r="A71" s="27" t="s">
        <v>299</v>
      </c>
      <c r="B71" s="26">
        <f>VLOOKUP(Mapping!$E71,_90_1_2001,2,FALSE)</f>
        <v>1.3</v>
      </c>
      <c r="C71" s="26">
        <f>VLOOKUP(Mapping!$D71,_90_1_2007,2,FALSE)</f>
        <v>1.5</v>
      </c>
      <c r="D71" s="26">
        <f>VLOOKUP(Mapping!$C71,_90_1_2010,2,FALSE)</f>
        <v>0.95</v>
      </c>
      <c r="E71" s="26">
        <f>VLOOKUP(Mapping!$C71,_90_1_2010,3,FALSE)</f>
        <v>6</v>
      </c>
      <c r="F71" s="26">
        <f>VLOOKUP(Mapping!$B71,_90_1_2016BM,2,FALSE)</f>
        <v>1.5</v>
      </c>
      <c r="G71" s="134">
        <v>1</v>
      </c>
      <c r="H71" s="169">
        <f>VLOOKUP(Mapping!$B71,_90_1_2016BM,3,FALSE)</f>
        <v>0.3</v>
      </c>
      <c r="I71" s="26" t="str">
        <f>VLOOKUP(Mapping!G71,_Plugs,13,FALSE)</f>
        <v>UWBD</v>
      </c>
      <c r="J71" s="231" t="str">
        <f>VLOOKUP(Mapping!$F71,_SSPC_90.1,3,FALSE)</f>
        <v>n. a.</v>
      </c>
      <c r="K71" s="26" t="str">
        <f>VLOOKUP(Mapping!$G71,_Plugs,14,FALSE)</f>
        <v>UWBD</v>
      </c>
      <c r="L71" s="26" t="str">
        <f>VLOOKUP(Mapping!$G71,_Plugs,15,FALSE)</f>
        <v>UWBD</v>
      </c>
      <c r="M71" s="26" t="str">
        <f>VLOOKUP(Mapping!$G71,_Plugs,16,FALSE)</f>
        <v>UWBD</v>
      </c>
      <c r="N71" s="135">
        <v>7</v>
      </c>
      <c r="O71" s="235" t="str">
        <f>VLOOKUP(Mapping!$I71,_ECB_CS,2,FALSE)</f>
        <v>n.a.</v>
      </c>
      <c r="P71" s="235">
        <f>VLOOKUP(Mapping!$J71,_ACM05,3,FALSE)</f>
        <v>250</v>
      </c>
      <c r="Q71" s="235">
        <f>VLOOKUP(Mapping!$J71,_ACM05,4,FALSE)</f>
        <v>250</v>
      </c>
      <c r="R71" s="172" t="str">
        <f>VLOOKUP(Mapping!$F71,_SSPC_90.1,5,FALSE)</f>
        <v>n. a.</v>
      </c>
      <c r="S71" s="172" t="str">
        <f>VLOOKUP(Mapping!$F71,_SSPC_90.1,6,FALSE)</f>
        <v>n. a.</v>
      </c>
      <c r="T71" s="172" t="str">
        <f>VLOOKUP(Mapping!$F71,_SSPC_90.1,7,FALSE)</f>
        <v>n. a.</v>
      </c>
      <c r="U71" s="26" t="str">
        <f>VLOOKUP(Mapping!$F71,_SSPC_90.1,4,FALSE)</f>
        <v>n. a.</v>
      </c>
      <c r="V71" s="231" t="str">
        <f>VLOOKUP(Mapping!$I71,_ECB_CS,5,FALSE)</f>
        <v>n.a.</v>
      </c>
      <c r="W71" s="135">
        <f>VLOOKUP(Mapping!$J71,_ACM05,6,FALSE)</f>
        <v>0</v>
      </c>
      <c r="X71" s="172" t="str">
        <f>VLOOKUP(Mapping!$I71,_ECB_CS,4,FALSE)</f>
        <v>n.a.</v>
      </c>
      <c r="Y71" s="26" t="str">
        <f>VLOOKUP(Mapping!$H71,_CEUS,2,FALSE)</f>
        <v>n.a.</v>
      </c>
      <c r="Z71" s="26" t="str">
        <f>VLOOKUP(Mapping!$H71,_CEUS,3,FALSE)</f>
        <v>n.a.</v>
      </c>
      <c r="AA71" s="32" t="s">
        <v>51</v>
      </c>
      <c r="AB71" s="206" t="s">
        <v>266</v>
      </c>
      <c r="AD71" s="194" t="str">
        <f t="shared" ref="AD71:AD102" si="4">VLOOKUP(AB71,SchedulesLookup,2,FALSE)</f>
        <v>ps</v>
      </c>
      <c r="AE71" s="176" t="str">
        <f t="shared" ref="AE71:AE102" si="5">VLOOKUP(AB71,SchedulesLookup,3,FALSE)</f>
        <v>Schedule is inherited</v>
      </c>
    </row>
    <row r="72" spans="1:31">
      <c r="A72" s="27" t="s">
        <v>300</v>
      </c>
      <c r="B72" s="26">
        <f>VLOOKUP(Mapping!$E72,_90_1_2001,2,FALSE)</f>
        <v>1.3</v>
      </c>
      <c r="C72" s="26">
        <f>VLOOKUP(Mapping!$D72,_90_1_2007,2,FALSE)</f>
        <v>1.5</v>
      </c>
      <c r="D72" s="26">
        <f>VLOOKUP(Mapping!$C72,_90_1_2010,2,FALSE)</f>
        <v>0.95</v>
      </c>
      <c r="E72" s="26">
        <f>VLOOKUP(Mapping!$C72,_90_1_2010,3,FALSE)</f>
        <v>6</v>
      </c>
      <c r="F72" s="26">
        <f>VLOOKUP(Mapping!$B72,_90_1_2016BM,2,FALSE)</f>
        <v>0.8</v>
      </c>
      <c r="G72" s="134">
        <v>1</v>
      </c>
      <c r="H72" s="169">
        <f>VLOOKUP(Mapping!$B72,_90_1_2016BM,3,FALSE)</f>
        <v>0.1</v>
      </c>
      <c r="I72" s="26">
        <f>VLOOKUP(Mapping!G72,_Plugs,13,FALSE)</f>
        <v>0.57608059373290121</v>
      </c>
      <c r="J72" s="231" t="str">
        <f>VLOOKUP(Mapping!$F72,_SSPC_90.1,3,FALSE)</f>
        <v>UWBD</v>
      </c>
      <c r="K72" s="26">
        <f>VLOOKUP(Mapping!$G72,_Plugs,14,FALSE)</f>
        <v>2</v>
      </c>
      <c r="L72" s="26">
        <f>VLOOKUP(Mapping!$G72,_Plugs,15,FALSE)</f>
        <v>0.54832713754646845</v>
      </c>
      <c r="M72" s="26">
        <f>VLOOKUP(Mapping!$G72,_Plugs,16,FALSE)</f>
        <v>1</v>
      </c>
      <c r="N72" s="135">
        <v>7</v>
      </c>
      <c r="O72" s="235">
        <f>VLOOKUP(Mapping!$I72,_ECB_CS,2,FALSE)</f>
        <v>2000</v>
      </c>
      <c r="P72" s="235">
        <f>VLOOKUP(Mapping!$J72,_ACM05,3,FALSE)</f>
        <v>250</v>
      </c>
      <c r="Q72" s="235">
        <f>VLOOKUP(Mapping!$J72,_ACM05,4,FALSE)</f>
        <v>200</v>
      </c>
      <c r="R72" s="172" t="str">
        <f>VLOOKUP(Mapping!$F72,_SSPC_90.1,5,FALSE)</f>
        <v>UWBD</v>
      </c>
      <c r="S72" s="172" t="str">
        <f>VLOOKUP(Mapping!$F72,_SSPC_90.1,6,FALSE)</f>
        <v>UWBD</v>
      </c>
      <c r="T72" s="172" t="str">
        <f>VLOOKUP(Mapping!$F72,_SSPC_90.1,7,FALSE)</f>
        <v>UWBD</v>
      </c>
      <c r="U72" s="26" t="str">
        <f>VLOOKUP(Mapping!$F72,_SSPC_90.1,4,FALSE)</f>
        <v>UWBD</v>
      </c>
      <c r="V72" s="231">
        <f>VLOOKUP(Mapping!$I72,_ECB_CS,5,FALSE)</f>
        <v>0.05</v>
      </c>
      <c r="W72" s="135">
        <f>VLOOKUP(Mapping!$J72,_ACM05,6,FALSE)</f>
        <v>120</v>
      </c>
      <c r="X72" s="172">
        <f>VLOOKUP(Mapping!$I72,_ECB_CS,4,FALSE)</f>
        <v>0</v>
      </c>
      <c r="Y72" s="26">
        <f>VLOOKUP(Mapping!$H72,_CEUS,2,FALSE)</f>
        <v>0.75342465753424659</v>
      </c>
      <c r="Z72" s="26">
        <f>VLOOKUP(Mapping!$H72,_CEUS,3,FALSE)</f>
        <v>9.8173515981735154E-2</v>
      </c>
      <c r="AA72" s="32" t="s">
        <v>51</v>
      </c>
      <c r="AB72" s="177" t="s">
        <v>234</v>
      </c>
      <c r="AD72" s="194" t="str">
        <f t="shared" si="4"/>
        <v>E</v>
      </c>
      <c r="AE72" s="176" t="str">
        <f t="shared" si="5"/>
        <v>Fire station, clinic, hospital, police station, transportation</v>
      </c>
    </row>
    <row r="73" spans="1:31">
      <c r="A73" s="27" t="s">
        <v>301</v>
      </c>
      <c r="B73" s="26">
        <f>VLOOKUP(Mapping!$E73,_90_1_2001,2,FALSE)</f>
        <v>2.2000000000000002</v>
      </c>
      <c r="C73" s="26">
        <f>VLOOKUP(Mapping!$D73,_90_1_2007,2,FALSE)</f>
        <v>1.2</v>
      </c>
      <c r="D73" s="26">
        <f>VLOOKUP(Mapping!$C73,_90_1_2010,2,FALSE)</f>
        <v>0.99</v>
      </c>
      <c r="E73" s="26">
        <f>VLOOKUP(Mapping!$C73,_90_1_2010,3,FALSE)</f>
        <v>6</v>
      </c>
      <c r="F73" s="26">
        <f>VLOOKUP(Mapping!$B73,_90_1_2016BM,2,FALSE)</f>
        <v>1.2</v>
      </c>
      <c r="G73" s="134">
        <v>1</v>
      </c>
      <c r="H73" s="169">
        <f>VLOOKUP(Mapping!$B73,_90_1_2016BM,3,FALSE)</f>
        <v>0.3</v>
      </c>
      <c r="I73" s="26">
        <f>VLOOKUP(Mapping!G73,_Plugs,13,FALSE)</f>
        <v>1.3160573887824656</v>
      </c>
      <c r="J73" s="231" t="str">
        <f>VLOOKUP(Mapping!$F73,_SSPC_90.1,3,FALSE)</f>
        <v>UWBD</v>
      </c>
      <c r="K73" s="26">
        <f>VLOOKUP(Mapping!$G73,_Plugs,14,FALSE)</f>
        <v>2</v>
      </c>
      <c r="L73" s="26">
        <f>VLOOKUP(Mapping!$G73,_Plugs,15,FALSE)</f>
        <v>0.92936802973977695</v>
      </c>
      <c r="M73" s="26">
        <f>VLOOKUP(Mapping!$G73,_Plugs,16,FALSE)</f>
        <v>1</v>
      </c>
      <c r="N73" s="135">
        <v>7</v>
      </c>
      <c r="O73" s="235">
        <f>VLOOKUP(Mapping!$I73,_ECB_CS,2,FALSE)</f>
        <v>200</v>
      </c>
      <c r="P73" s="235">
        <f>VLOOKUP(Mapping!$J73,_ACM05,3,FALSE)</f>
        <v>275</v>
      </c>
      <c r="Q73" s="235">
        <f>VLOOKUP(Mapping!$J73,_ACM05,4,FALSE)</f>
        <v>475</v>
      </c>
      <c r="R73" s="172" t="str">
        <f>VLOOKUP(Mapping!$F73,_SSPC_90.1,5,FALSE)</f>
        <v>UWBD</v>
      </c>
      <c r="S73" s="172" t="str">
        <f>VLOOKUP(Mapping!$F73,_SSPC_90.1,6,FALSE)</f>
        <v>UWBD</v>
      </c>
      <c r="T73" s="172" t="str">
        <f>VLOOKUP(Mapping!$F73,_SSPC_90.1,7,FALSE)</f>
        <v>UWBD</v>
      </c>
      <c r="U73" s="26" t="str">
        <f>VLOOKUP(Mapping!$F73,_SSPC_90.1,4,FALSE)</f>
        <v>UWBD</v>
      </c>
      <c r="V73" s="231">
        <f>VLOOKUP(Mapping!$I73,_ECB_CS,5,FALSE)</f>
        <v>0.3</v>
      </c>
      <c r="W73" s="135">
        <f>VLOOKUP(Mapping!$J73,_ACM05,6,FALSE)</f>
        <v>385</v>
      </c>
      <c r="X73" s="172">
        <f>VLOOKUP(Mapping!$I73,_ECB_CS,4,FALSE)</f>
        <v>400</v>
      </c>
      <c r="Y73" s="26">
        <f>VLOOKUP(Mapping!$H73,_CEUS,2,FALSE)</f>
        <v>35.068493150684937</v>
      </c>
      <c r="Z73" s="26">
        <f>VLOOKUP(Mapping!$H73,_CEUS,3,FALSE)</f>
        <v>2.2534246575342465</v>
      </c>
      <c r="AA73" s="32" t="s">
        <v>47</v>
      </c>
      <c r="AB73" s="176" t="s">
        <v>227</v>
      </c>
      <c r="AD73" s="194" t="str">
        <f t="shared" si="4"/>
        <v>B</v>
      </c>
      <c r="AE73" s="176" t="str">
        <f t="shared" si="5"/>
        <v>Cafeteria, fast food, family dining, bar, lounge</v>
      </c>
    </row>
    <row r="74" spans="1:31">
      <c r="A74" s="27" t="s">
        <v>302</v>
      </c>
      <c r="B74" s="26">
        <f>VLOOKUP(Mapping!$E74,_90_1_2001,2,FALSE)</f>
        <v>2.5</v>
      </c>
      <c r="C74" s="26">
        <f>VLOOKUP(Mapping!$D74,_90_1_2007,2,FALSE)</f>
        <v>1.1000000000000001</v>
      </c>
      <c r="D74" s="26">
        <f>VLOOKUP(Mapping!$C74,_90_1_2010,2,FALSE)</f>
        <v>1.1100000000000001</v>
      </c>
      <c r="E74" s="26">
        <f>VLOOKUP(Mapping!$C74,_90_1_2010,3,FALSE)</f>
        <v>6</v>
      </c>
      <c r="F74" s="26">
        <f>VLOOKUP(Mapping!$B74,_90_1_2016BM,2,FALSE)</f>
        <v>1.1000000000000001</v>
      </c>
      <c r="G74" s="134">
        <v>1</v>
      </c>
      <c r="H74" s="169">
        <f>VLOOKUP(Mapping!$B74,_90_1_2016BM,3,FALSE)</f>
        <v>0.45</v>
      </c>
      <c r="I74" s="26">
        <f>VLOOKUP(Mapping!G74,_Plugs,13,FALSE)</f>
        <v>1.5641288213559472</v>
      </c>
      <c r="J74" s="231">
        <f>VLOOKUP(Mapping!$F74,_SSPC_90.1,3,FALSE)</f>
        <v>1.1100000000000001</v>
      </c>
      <c r="K74" s="26">
        <f>VLOOKUP(Mapping!$G74,_Plugs,14,FALSE)</f>
        <v>2</v>
      </c>
      <c r="L74" s="26">
        <f>VLOOKUP(Mapping!$G74,_Plugs,15,FALSE)</f>
        <v>0.29739776951672864</v>
      </c>
      <c r="M74" s="26">
        <f>VLOOKUP(Mapping!$G74,_Plugs,16,FALSE)</f>
        <v>1</v>
      </c>
      <c r="N74" s="135">
        <v>7</v>
      </c>
      <c r="O74" s="235">
        <f>VLOOKUP(Mapping!$I74,_ECB_CS,2,FALSE)</f>
        <v>250</v>
      </c>
      <c r="P74" s="235">
        <f>VLOOKUP(Mapping!$J74,_ACM05,3,FALSE)</f>
        <v>245</v>
      </c>
      <c r="Q74" s="235">
        <f>VLOOKUP(Mapping!$J74,_ACM05,4,FALSE)</f>
        <v>155</v>
      </c>
      <c r="R74" s="172">
        <f>VLOOKUP(Mapping!$F74,_SSPC_90.1,5,FALSE)</f>
        <v>250</v>
      </c>
      <c r="S74" s="172">
        <f>VLOOKUP(Mapping!$F74,_SSPC_90.1,6,FALSE)</f>
        <v>250</v>
      </c>
      <c r="T74" s="172">
        <f>VLOOKUP(Mapping!$F74,_SSPC_90.1,7,FALSE)</f>
        <v>200</v>
      </c>
      <c r="U74" s="26">
        <f>VLOOKUP(Mapping!$F74,_SSPC_90.1,4,FALSE)</f>
        <v>0.08</v>
      </c>
      <c r="V74" s="231">
        <f>VLOOKUP(Mapping!$I74,_ECB_CS,5,FALSE)</f>
        <v>0.12</v>
      </c>
      <c r="W74" s="135">
        <f>VLOOKUP(Mapping!$J74,_ACM05,6,FALSE)</f>
        <v>2800</v>
      </c>
      <c r="X74" s="172">
        <f>VLOOKUP(Mapping!$I74,_ECB_CS,4,FALSE)</f>
        <v>2000</v>
      </c>
      <c r="Y74" s="26">
        <f>VLOOKUP(Mapping!$H74,_CEUS,2,FALSE)</f>
        <v>0.69634703196347048</v>
      </c>
      <c r="Z74" s="26">
        <f>VLOOKUP(Mapping!$H74,_CEUS,3,FALSE)</f>
        <v>0.10273972602739725</v>
      </c>
      <c r="AA74" s="32" t="s">
        <v>51</v>
      </c>
      <c r="AB74" s="177" t="s">
        <v>240</v>
      </c>
      <c r="AD74" s="194" t="str">
        <f t="shared" si="4"/>
        <v>D</v>
      </c>
      <c r="AE74" s="176" t="str">
        <f t="shared" si="5"/>
        <v>Hotel, motel, penitentiary</v>
      </c>
    </row>
    <row r="75" spans="1:31">
      <c r="A75" s="27" t="s">
        <v>303</v>
      </c>
      <c r="B75" s="26">
        <f>VLOOKUP(Mapping!$E75,_90_1_2001,2,FALSE)</f>
        <v>1.1000000000000001</v>
      </c>
      <c r="C75" s="26">
        <f>VLOOKUP(Mapping!$D75,_90_1_2007,2,FALSE)</f>
        <v>1.3</v>
      </c>
      <c r="D75" s="26">
        <f>VLOOKUP(Mapping!$C75,_90_1_2010,2,FALSE)</f>
        <v>1.17</v>
      </c>
      <c r="E75" s="26">
        <f>VLOOKUP(Mapping!$C75,_90_1_2010,3,FALSE)</f>
        <v>8</v>
      </c>
      <c r="F75" s="26">
        <f>VLOOKUP(Mapping!$B75,_90_1_2016BM,2,FALSE)</f>
        <v>1.3</v>
      </c>
      <c r="G75" s="134">
        <v>1</v>
      </c>
      <c r="H75" s="169">
        <f>VLOOKUP(Mapping!$B75,_90_1_2016BM,3,FALSE)</f>
        <v>0.3</v>
      </c>
      <c r="I75" s="26">
        <f>VLOOKUP(Mapping!G75,_Plugs,13,FALSE)</f>
        <v>1.4928322661656475</v>
      </c>
      <c r="J75" s="231">
        <f>VLOOKUP(Mapping!$F75,_SSPC_90.1,3,FALSE)</f>
        <v>0.75</v>
      </c>
      <c r="K75" s="26">
        <f>VLOOKUP(Mapping!$G75,_Plugs,14,FALSE)</f>
        <v>2</v>
      </c>
      <c r="L75" s="26">
        <f>VLOOKUP(Mapping!$G75,_Plugs,15,FALSE)</f>
        <v>1.1152416356877324</v>
      </c>
      <c r="M75" s="26">
        <f>VLOOKUP(Mapping!$G75,_Plugs,16,FALSE)</f>
        <v>1</v>
      </c>
      <c r="N75" s="135">
        <v>7</v>
      </c>
      <c r="O75" s="235">
        <f>VLOOKUP(Mapping!$I75,_ECB_CS,2,FALSE)</f>
        <v>200</v>
      </c>
      <c r="P75" s="235">
        <f>VLOOKUP(Mapping!$J75,_ACM05,3,FALSE)</f>
        <v>250</v>
      </c>
      <c r="Q75" s="235">
        <f>VLOOKUP(Mapping!$J75,_ACM05,4,FALSE)</f>
        <v>200</v>
      </c>
      <c r="R75" s="172">
        <f>VLOOKUP(Mapping!$F75,_SSPC_90.1,5,FALSE)</f>
        <v>200</v>
      </c>
      <c r="S75" s="172">
        <f>VLOOKUP(Mapping!$F75,_SSPC_90.1,6,FALSE)</f>
        <v>250</v>
      </c>
      <c r="T75" s="172">
        <f>VLOOKUP(Mapping!$F75,_SSPC_90.1,7,FALSE)</f>
        <v>200</v>
      </c>
      <c r="U75" s="26">
        <f>VLOOKUP(Mapping!$F75,_SSPC_90.1,4,FALSE)</f>
        <v>0.09</v>
      </c>
      <c r="V75" s="231">
        <f>VLOOKUP(Mapping!$I75,_ECB_CS,5,FALSE)</f>
        <v>0.1</v>
      </c>
      <c r="W75" s="135">
        <f>VLOOKUP(Mapping!$J75,_ACM05,6,FALSE)</f>
        <v>120</v>
      </c>
      <c r="X75" s="172">
        <f>VLOOKUP(Mapping!$I75,_ECB_CS,4,FALSE)</f>
        <v>300</v>
      </c>
      <c r="Y75" s="26">
        <f>VLOOKUP(Mapping!$H75,_CEUS,2,FALSE)</f>
        <v>0.17123287671232876</v>
      </c>
      <c r="Z75" s="26">
        <f>VLOOKUP(Mapping!$H75,_CEUS,3,FALSE)</f>
        <v>4.6803652968036527E-2</v>
      </c>
      <c r="AA75" s="32" t="s">
        <v>51</v>
      </c>
      <c r="AB75" s="176" t="s">
        <v>225</v>
      </c>
      <c r="AD75" s="194" t="str">
        <f t="shared" si="4"/>
        <v>A</v>
      </c>
      <c r="AE75" s="176" t="str">
        <f t="shared" si="5"/>
        <v>courthouse, office, post office, town hall</v>
      </c>
    </row>
    <row r="76" spans="1:31">
      <c r="A76" s="27" t="s">
        <v>304</v>
      </c>
      <c r="B76" s="26">
        <f>VLOOKUP(Mapping!$E76,_90_1_2001,2,FALSE)</f>
        <v>1.6</v>
      </c>
      <c r="C76" s="26">
        <f>VLOOKUP(Mapping!$D76,_90_1_2007,2,FALSE)</f>
        <v>1.4</v>
      </c>
      <c r="D76" s="26">
        <f>VLOOKUP(Mapping!$C76,_90_1_2010,2,FALSE)</f>
        <v>1.28</v>
      </c>
      <c r="E76" s="26">
        <f>VLOOKUP(Mapping!$C76,_90_1_2010,3,FALSE)</f>
        <v>6</v>
      </c>
      <c r="F76" s="26">
        <f>VLOOKUP(Mapping!$B76,_90_1_2016BM,2,FALSE)</f>
        <v>1.4</v>
      </c>
      <c r="G76" s="134">
        <v>1</v>
      </c>
      <c r="H76" s="169" t="str">
        <f>VLOOKUP(Mapping!$B76,_90_1_2016BM,3,FALSE)</f>
        <v>None</v>
      </c>
      <c r="I76" s="26">
        <f>VLOOKUP(Mapping!G76,_Plugs,13,FALSE)</f>
        <v>3.341539942209327</v>
      </c>
      <c r="J76" s="231" t="str">
        <f>VLOOKUP(Mapping!$F76,_SSPC_90.1,3,FALSE)</f>
        <v>UWBD</v>
      </c>
      <c r="K76" s="26">
        <f>VLOOKUP(Mapping!$G76,_Plugs,14,FALSE)</f>
        <v>2</v>
      </c>
      <c r="L76" s="26">
        <f>VLOOKUP(Mapping!$G76,_Plugs,15,FALSE)</f>
        <v>2.7881040892193307</v>
      </c>
      <c r="M76" s="26">
        <f>VLOOKUP(Mapping!$G76,_Plugs,16,FALSE)</f>
        <v>1</v>
      </c>
      <c r="N76" s="135">
        <v>7</v>
      </c>
      <c r="O76" s="235">
        <f>VLOOKUP(Mapping!$I76,_ECB_CS,2,FALSE)</f>
        <v>75</v>
      </c>
      <c r="P76" s="235">
        <f>VLOOKUP(Mapping!$J76,_ACM05,3,FALSE)</f>
        <v>245</v>
      </c>
      <c r="Q76" s="235">
        <f>VLOOKUP(Mapping!$J76,_ACM05,4,FALSE)</f>
        <v>155</v>
      </c>
      <c r="R76" s="172" t="str">
        <f>VLOOKUP(Mapping!$F76,_SSPC_90.1,5,FALSE)</f>
        <v>UWBD</v>
      </c>
      <c r="S76" s="172" t="str">
        <f>VLOOKUP(Mapping!$F76,_SSPC_90.1,6,FALSE)</f>
        <v>UWBD</v>
      </c>
      <c r="T76" s="172" t="str">
        <f>VLOOKUP(Mapping!$F76,_SSPC_90.1,7,FALSE)</f>
        <v>UWBD</v>
      </c>
      <c r="U76" s="26" t="str">
        <f>VLOOKUP(Mapping!$F76,_SSPC_90.1,4,FALSE)</f>
        <v>UWBD</v>
      </c>
      <c r="V76" s="231">
        <f>VLOOKUP(Mapping!$I76,_ECB_CS,5,FALSE)</f>
        <v>0.2</v>
      </c>
      <c r="W76" s="135">
        <f>VLOOKUP(Mapping!$J76,_ACM05,6,FALSE)</f>
        <v>120</v>
      </c>
      <c r="X76" s="172">
        <f>VLOOKUP(Mapping!$I76,_ECB_CS,4,FALSE)</f>
        <v>215</v>
      </c>
      <c r="Y76" s="26">
        <f>VLOOKUP(Mapping!$H76,_CEUS,2,FALSE)</f>
        <v>0.29680365296803651</v>
      </c>
      <c r="Z76" s="26">
        <f>VLOOKUP(Mapping!$H76,_CEUS,3,FALSE)</f>
        <v>5.2511415525114152E-2</v>
      </c>
      <c r="AA76" s="32" t="s">
        <v>51</v>
      </c>
      <c r="AB76" s="176" t="s">
        <v>258</v>
      </c>
      <c r="AD76" s="194" t="str">
        <f t="shared" si="4"/>
        <v>G</v>
      </c>
      <c r="AE76" s="176" t="str">
        <f t="shared" si="5"/>
        <v>K-12 schools, universities</v>
      </c>
    </row>
    <row r="77" spans="1:31">
      <c r="A77" s="27" t="s">
        <v>305</v>
      </c>
      <c r="B77" s="26">
        <f>VLOOKUP(Mapping!$E77,_90_1_2001,2,FALSE)</f>
        <v>1.8</v>
      </c>
      <c r="C77" s="26">
        <f>VLOOKUP(Mapping!$D77,_90_1_2007,2,FALSE)</f>
        <v>1.4</v>
      </c>
      <c r="D77" s="26">
        <f>VLOOKUP(Mapping!$C77,_90_1_2010,2,FALSE)</f>
        <v>1.81</v>
      </c>
      <c r="E77" s="26">
        <f>VLOOKUP(Mapping!$C77,_90_1_2010,3,FALSE)</f>
        <v>6</v>
      </c>
      <c r="F77" s="26">
        <f>VLOOKUP(Mapping!$B77,_90_1_2016BM,2,FALSE)</f>
        <v>1.4</v>
      </c>
      <c r="G77" s="134">
        <v>1</v>
      </c>
      <c r="H77" s="169">
        <f>VLOOKUP(Mapping!$B77,_90_1_2016BM,3,FALSE)</f>
        <v>0.1</v>
      </c>
      <c r="I77" s="26">
        <f>VLOOKUP(Mapping!G77,_Plugs,13,FALSE)</f>
        <v>3.341539942209327</v>
      </c>
      <c r="J77" s="231" t="str">
        <f>VLOOKUP(Mapping!$F77,_SSPC_90.1,3,FALSE)</f>
        <v>n. a.</v>
      </c>
      <c r="K77" s="26">
        <f>VLOOKUP(Mapping!$G77,_Plugs,14,FALSE)</f>
        <v>2</v>
      </c>
      <c r="L77" s="26">
        <f>VLOOKUP(Mapping!$G77,_Plugs,15,FALSE)</f>
        <v>2.7881040892193307</v>
      </c>
      <c r="M77" s="26">
        <f>VLOOKUP(Mapping!$G77,_Plugs,16,FALSE)</f>
        <v>1</v>
      </c>
      <c r="N77" s="135">
        <v>7</v>
      </c>
      <c r="O77" s="235">
        <f>VLOOKUP(Mapping!$I77,_ECB_CS,2,FALSE)</f>
        <v>200</v>
      </c>
      <c r="P77" s="235">
        <f>VLOOKUP(Mapping!$J77,_ACM05,3,FALSE)</f>
        <v>250</v>
      </c>
      <c r="Q77" s="235">
        <f>VLOOKUP(Mapping!$J77,_ACM05,4,FALSE)</f>
        <v>200</v>
      </c>
      <c r="R77" s="172" t="str">
        <f>VLOOKUP(Mapping!$F77,_SSPC_90.1,5,FALSE)</f>
        <v>n. a.</v>
      </c>
      <c r="S77" s="172" t="str">
        <f>VLOOKUP(Mapping!$F77,_SSPC_90.1,6,FALSE)</f>
        <v>n. a.</v>
      </c>
      <c r="T77" s="172" t="str">
        <f>VLOOKUP(Mapping!$F77,_SSPC_90.1,7,FALSE)</f>
        <v>n. a.</v>
      </c>
      <c r="U77" s="26" t="str">
        <f>VLOOKUP(Mapping!$F77,_SSPC_90.1,4,FALSE)</f>
        <v>n. a.</v>
      </c>
      <c r="V77" s="231">
        <f>VLOOKUP(Mapping!$I77,_ECB_CS,5,FALSE)</f>
        <v>0.1</v>
      </c>
      <c r="W77" s="135">
        <f>VLOOKUP(Mapping!$J77,_ACM05,6,FALSE)</f>
        <v>120</v>
      </c>
      <c r="X77" s="172">
        <f>VLOOKUP(Mapping!$I77,_ECB_CS,4,FALSE)</f>
        <v>600</v>
      </c>
      <c r="Y77" s="26" t="str">
        <f>VLOOKUP(Mapping!$H77,_CEUS,2,FALSE)</f>
        <v>n.a.</v>
      </c>
      <c r="Z77" s="26" t="str">
        <f>VLOOKUP(Mapping!$H77,_CEUS,3,FALSE)</f>
        <v>n.a.</v>
      </c>
      <c r="AA77" s="32" t="s">
        <v>51</v>
      </c>
      <c r="AB77" s="176" t="s">
        <v>306</v>
      </c>
      <c r="AD77" s="194" t="str">
        <f t="shared" si="4"/>
        <v>X1</v>
      </c>
      <c r="AE77" s="176" t="str">
        <f t="shared" si="5"/>
        <v>Laboratory</v>
      </c>
    </row>
    <row r="78" spans="1:31">
      <c r="A78" s="27" t="s">
        <v>307</v>
      </c>
      <c r="B78" s="26">
        <f>VLOOKUP(Mapping!$E78,_90_1_2001,2,FALSE)</f>
        <v>0.7</v>
      </c>
      <c r="C78" s="26">
        <f>VLOOKUP(Mapping!$D78,_90_1_2007,2,FALSE)</f>
        <v>0.6</v>
      </c>
      <c r="D78" s="26">
        <f>VLOOKUP(Mapping!$C78,_90_1_2010,2,FALSE)</f>
        <v>0.6</v>
      </c>
      <c r="E78" s="26">
        <f>VLOOKUP(Mapping!$C78,_90_1_2010,3,FALSE)</f>
        <v>4</v>
      </c>
      <c r="F78" s="26">
        <f>VLOOKUP(Mapping!$B78,_90_1_2016BM,2,FALSE)</f>
        <v>0.6</v>
      </c>
      <c r="G78" s="134">
        <v>1</v>
      </c>
      <c r="H78" s="169">
        <f>VLOOKUP(Mapping!$B78,_90_1_2016BM,3,FALSE)</f>
        <v>0.1</v>
      </c>
      <c r="I78" s="26">
        <f>VLOOKUP(Mapping!G78,_Plugs,13,FALSE)</f>
        <v>0.51912260356910667</v>
      </c>
      <c r="J78" s="231" t="str">
        <f>VLOOKUP(Mapping!$F78,_SSPC_90.1,3,FALSE)</f>
        <v>n. a.</v>
      </c>
      <c r="K78" s="26">
        <f>VLOOKUP(Mapping!$G78,_Plugs,14,FALSE)</f>
        <v>2</v>
      </c>
      <c r="L78" s="26">
        <f>VLOOKUP(Mapping!$G78,_Plugs,15,FALSE)</f>
        <v>0.54832713754646845</v>
      </c>
      <c r="M78" s="26">
        <f>VLOOKUP(Mapping!$G78,_Plugs,16,FALSE)</f>
        <v>1</v>
      </c>
      <c r="N78" s="135">
        <v>7</v>
      </c>
      <c r="O78" s="235">
        <f>VLOOKUP(Mapping!$I78,_ECB_CS,2,FALSE)</f>
        <v>200</v>
      </c>
      <c r="P78" s="235">
        <f>VLOOKUP(Mapping!$J78,_ACM05,3,FALSE)</f>
        <v>250</v>
      </c>
      <c r="Q78" s="235">
        <f>VLOOKUP(Mapping!$J78,_ACM05,4,FALSE)</f>
        <v>250</v>
      </c>
      <c r="R78" s="172" t="str">
        <f>VLOOKUP(Mapping!$F78,_SSPC_90.1,5,FALSE)</f>
        <v>n. a.</v>
      </c>
      <c r="S78" s="172" t="str">
        <f>VLOOKUP(Mapping!$F78,_SSPC_90.1,6,FALSE)</f>
        <v>n. a.</v>
      </c>
      <c r="T78" s="172" t="str">
        <f>VLOOKUP(Mapping!$F78,_SSPC_90.1,7,FALSE)</f>
        <v>n. a.</v>
      </c>
      <c r="U78" s="26" t="str">
        <f>VLOOKUP(Mapping!$F78,_SSPC_90.1,4,FALSE)</f>
        <v>n. a.</v>
      </c>
      <c r="V78" s="231">
        <f>VLOOKUP(Mapping!$I78,_ECB_CS,5,FALSE)</f>
        <v>0.125</v>
      </c>
      <c r="W78" s="135">
        <f>VLOOKUP(Mapping!$J78,_ACM05,6,FALSE)</f>
        <v>385</v>
      </c>
      <c r="X78" s="172">
        <f>VLOOKUP(Mapping!$I78,_ECB_CS,4,FALSE)</f>
        <v>215</v>
      </c>
      <c r="Y78" s="26" t="str">
        <f>VLOOKUP(Mapping!$H78,_CEUS,2,FALSE)</f>
        <v>n.a.</v>
      </c>
      <c r="Z78" s="26" t="str">
        <f>VLOOKUP(Mapping!$H78,_CEUS,3,FALSE)</f>
        <v>n.a.</v>
      </c>
      <c r="AA78" s="32" t="s">
        <v>47</v>
      </c>
      <c r="AB78" s="177" t="s">
        <v>266</v>
      </c>
      <c r="AD78" s="194" t="str">
        <f t="shared" si="4"/>
        <v>ps</v>
      </c>
      <c r="AE78" s="176" t="str">
        <f t="shared" si="5"/>
        <v>Schedule is inherited</v>
      </c>
    </row>
    <row r="79" spans="1:31">
      <c r="A79" s="27" t="s">
        <v>308</v>
      </c>
      <c r="B79" s="26">
        <f>VLOOKUP(Mapping!$E79,_90_1_2001,2,FALSE)</f>
        <v>1.1000000000000001</v>
      </c>
      <c r="C79" s="26">
        <f>VLOOKUP(Mapping!$D79,_90_1_2007,2,FALSE)</f>
        <v>0.9</v>
      </c>
      <c r="D79" s="26">
        <f>VLOOKUP(Mapping!$C79,_90_1_2010,2,FALSE)</f>
        <v>0.57999999999999996</v>
      </c>
      <c r="E79" s="26">
        <f>VLOOKUP(Mapping!$C79,_90_1_2010,3,FALSE)</f>
        <v>4</v>
      </c>
      <c r="F79" s="26">
        <f>VLOOKUP(Mapping!$B79,_90_1_2016BM,2,FALSE)</f>
        <v>0.59</v>
      </c>
      <c r="G79" s="134">
        <v>1</v>
      </c>
      <c r="H79" s="169">
        <f>VLOOKUP(Mapping!$B79,_90_1_2016BM,3,FALSE)</f>
        <v>0.1</v>
      </c>
      <c r="I79" s="26" t="str">
        <f>VLOOKUP(Mapping!G79,_Plugs,13,FALSE)</f>
        <v>n.a.</v>
      </c>
      <c r="J79" s="231">
        <f>VLOOKUP(Mapping!$F79,_SSPC_90.1,3,FALSE)</f>
        <v>0.24</v>
      </c>
      <c r="K79" s="26" t="str">
        <f>VLOOKUP(Mapping!$G79,_Plugs,14,FALSE)</f>
        <v>n.a.</v>
      </c>
      <c r="L79" s="26" t="str">
        <f>VLOOKUP(Mapping!$G79,_Plugs,15,FALSE)</f>
        <v>n.a.</v>
      </c>
      <c r="M79" s="26" t="str">
        <f>VLOOKUP(Mapping!$G79,_Plugs,16,FALSE)</f>
        <v>n.a.</v>
      </c>
      <c r="N79" s="135">
        <v>7</v>
      </c>
      <c r="O79" s="235">
        <f>VLOOKUP(Mapping!$I79,_ECB_CS,2,FALSE)</f>
        <v>1000</v>
      </c>
      <c r="P79" s="235">
        <f>VLOOKUP(Mapping!$J79,_ACM05,3,FALSE)</f>
        <v>275</v>
      </c>
      <c r="Q79" s="235">
        <f>VLOOKUP(Mapping!$J79,_ACM05,4,FALSE)</f>
        <v>475</v>
      </c>
      <c r="R79" s="172">
        <f>VLOOKUP(Mapping!$F79,_SSPC_90.1,5,FALSE)</f>
        <v>0</v>
      </c>
      <c r="S79" s="172">
        <f>VLOOKUP(Mapping!$F79,_SSPC_90.1,6,FALSE)</f>
        <v>275</v>
      </c>
      <c r="T79" s="172">
        <f>VLOOKUP(Mapping!$F79,_SSPC_90.1,7,FALSE)</f>
        <v>475</v>
      </c>
      <c r="U79" s="26">
        <f>VLOOKUP(Mapping!$F79,_SSPC_90.1,4,FALSE)</f>
        <v>0.06</v>
      </c>
      <c r="V79" s="231">
        <f>VLOOKUP(Mapping!$I79,_ECB_CS,5,FALSE)</f>
        <v>0.05</v>
      </c>
      <c r="W79" s="135">
        <f>VLOOKUP(Mapping!$J79,_ACM05,6,FALSE)</f>
        <v>120</v>
      </c>
      <c r="X79" s="172">
        <f>VLOOKUP(Mapping!$I79,_ECB_CS,4,FALSE)</f>
        <v>225</v>
      </c>
      <c r="Y79" s="26">
        <f>VLOOKUP(Mapping!$H79,_CEUS,2,FALSE)</f>
        <v>0</v>
      </c>
      <c r="Z79" s="26">
        <f>VLOOKUP(Mapping!$H79,_CEUS,3,FALSE)</f>
        <v>3.1963470319634701E-2</v>
      </c>
      <c r="AA79" s="32" t="s">
        <v>51</v>
      </c>
      <c r="AB79" s="176" t="s">
        <v>263</v>
      </c>
      <c r="AD79" s="194" t="str">
        <f t="shared" si="4"/>
        <v>L</v>
      </c>
      <c r="AE79" s="176" t="str">
        <f t="shared" si="5"/>
        <v>Warehouse</v>
      </c>
    </row>
    <row r="80" spans="1:31">
      <c r="A80" s="27" t="s">
        <v>309</v>
      </c>
      <c r="B80" s="26">
        <f>VLOOKUP(Mapping!$E80,_90_1_2001,2,FALSE)</f>
        <v>1.8</v>
      </c>
      <c r="C80" s="26">
        <f>VLOOKUP(Mapping!$D80,_90_1_2007,2,FALSE)</f>
        <v>1.3</v>
      </c>
      <c r="D80" s="26">
        <f>VLOOKUP(Mapping!$C80,_90_1_2010,2,FALSE)</f>
        <v>0.9</v>
      </c>
      <c r="E80" s="26">
        <f>VLOOKUP(Mapping!$C80,_90_1_2010,3,FALSE)</f>
        <v>4</v>
      </c>
      <c r="F80" s="26">
        <f>VLOOKUP(Mapping!$B80,_90_1_2016BM,2,FALSE)</f>
        <v>2.2599999999999998</v>
      </c>
      <c r="G80" s="134">
        <v>1</v>
      </c>
      <c r="H80" s="169">
        <f>VLOOKUP(Mapping!$B80,_90_1_2016BM,3,FALSE)</f>
        <v>0.25</v>
      </c>
      <c r="I80" s="26">
        <f>VLOOKUP(Mapping!G80,_Plugs,13,FALSE)</f>
        <v>1.4046493036603716</v>
      </c>
      <c r="J80" s="231">
        <f>VLOOKUP(Mapping!$F80,_SSPC_90.1,3,FALSE)</f>
        <v>1.1100000000000001</v>
      </c>
      <c r="K80" s="26">
        <f>VLOOKUP(Mapping!$G80,_Plugs,14,FALSE)</f>
        <v>2</v>
      </c>
      <c r="L80" s="26">
        <f>VLOOKUP(Mapping!$G80,_Plugs,15,FALSE)</f>
        <v>1.1152416356877324</v>
      </c>
      <c r="M80" s="26">
        <f>VLOOKUP(Mapping!$G80,_Plugs,16,FALSE)</f>
        <v>1</v>
      </c>
      <c r="N80" s="135">
        <v>7</v>
      </c>
      <c r="O80" s="235">
        <f>VLOOKUP(Mapping!$I80,_ECB_CS,2,FALSE)</f>
        <v>100</v>
      </c>
      <c r="P80" s="235">
        <f>VLOOKUP(Mapping!$J80,_ACM05,3,FALSE)</f>
        <v>250</v>
      </c>
      <c r="Q80" s="235">
        <f>VLOOKUP(Mapping!$J80,_ACM05,4,FALSE)</f>
        <v>250</v>
      </c>
      <c r="R80" s="172">
        <f>VLOOKUP(Mapping!$F80,_SSPC_90.1,5,FALSE)</f>
        <v>250</v>
      </c>
      <c r="S80" s="172">
        <f>VLOOKUP(Mapping!$F80,_SSPC_90.1,6,FALSE)</f>
        <v>250</v>
      </c>
      <c r="T80" s="172">
        <f>VLOOKUP(Mapping!$F80,_SSPC_90.1,7,FALSE)</f>
        <v>200</v>
      </c>
      <c r="U80" s="26">
        <f>VLOOKUP(Mapping!$F80,_SSPC_90.1,4,FALSE)</f>
        <v>0.08</v>
      </c>
      <c r="V80" s="231">
        <f>VLOOKUP(Mapping!$I80,_ECB_CS,5,FALSE)</f>
        <v>0.15</v>
      </c>
      <c r="W80" s="135">
        <f>VLOOKUP(Mapping!$J80,_ACM05,6,FALSE)</f>
        <v>120</v>
      </c>
      <c r="X80" s="172">
        <f>VLOOKUP(Mapping!$I80,_ECB_CS,4,FALSE)</f>
        <v>100</v>
      </c>
      <c r="Y80" s="26">
        <f>VLOOKUP(Mapping!$H80,_CEUS,2,FALSE)</f>
        <v>0.69634703196347048</v>
      </c>
      <c r="Z80" s="26">
        <f>VLOOKUP(Mapping!$H80,_CEUS,3,FALSE)</f>
        <v>0.10273972602739725</v>
      </c>
      <c r="AA80" s="32" t="s">
        <v>51</v>
      </c>
      <c r="AB80" s="176" t="s">
        <v>231</v>
      </c>
      <c r="AD80" s="194" t="str">
        <f t="shared" si="4"/>
        <v>F</v>
      </c>
      <c r="AE80" s="176" t="str">
        <f t="shared" si="5"/>
        <v>Dormatory, multifamily</v>
      </c>
    </row>
    <row r="81" spans="1:31">
      <c r="A81" s="27" t="s">
        <v>310</v>
      </c>
      <c r="B81" s="26">
        <f>VLOOKUP(Mapping!$E81,_90_1_2001,2,FALSE)</f>
        <v>1.8</v>
      </c>
      <c r="C81" s="26">
        <f>VLOOKUP(Mapping!$D81,_90_1_2007,2,FALSE)</f>
        <v>1.3</v>
      </c>
      <c r="D81" s="26">
        <f>VLOOKUP(Mapping!$C81,_90_1_2010,2,FALSE)</f>
        <v>0.64</v>
      </c>
      <c r="E81" s="26">
        <f>VLOOKUP(Mapping!$C81,_90_1_2010,3,FALSE)</f>
        <v>6</v>
      </c>
      <c r="F81" s="26">
        <f>VLOOKUP(Mapping!$B81,_90_1_2016BM,2,FALSE)</f>
        <v>0.8</v>
      </c>
      <c r="G81" s="134">
        <v>1</v>
      </c>
      <c r="H81" s="169">
        <f>VLOOKUP(Mapping!$B81,_90_1_2016BM,3,FALSE)</f>
        <v>0.25</v>
      </c>
      <c r="I81" s="26" t="str">
        <f>VLOOKUP(Mapping!G81,_Plugs,13,FALSE)</f>
        <v>UWBD</v>
      </c>
      <c r="J81" s="231" t="str">
        <f>VLOOKUP(Mapping!$F81,_SSPC_90.1,3,FALSE)</f>
        <v>UWBD</v>
      </c>
      <c r="K81" s="26" t="str">
        <f>VLOOKUP(Mapping!$G81,_Plugs,14,FALSE)</f>
        <v>UWBD</v>
      </c>
      <c r="L81" s="26" t="str">
        <f>VLOOKUP(Mapping!$G81,_Plugs,15,FALSE)</f>
        <v>UWBD</v>
      </c>
      <c r="M81" s="26" t="str">
        <f>VLOOKUP(Mapping!$G81,_Plugs,16,FALSE)</f>
        <v>UWBD</v>
      </c>
      <c r="N81" s="135">
        <v>7</v>
      </c>
      <c r="O81" s="235">
        <f>VLOOKUP(Mapping!$I81,_ECB_CS,2,FALSE)</f>
        <v>100</v>
      </c>
      <c r="P81" s="235">
        <f>VLOOKUP(Mapping!$J81,_ACM05,3,FALSE)</f>
        <v>250</v>
      </c>
      <c r="Q81" s="235">
        <f>VLOOKUP(Mapping!$J81,_ACM05,4,FALSE)</f>
        <v>250</v>
      </c>
      <c r="R81" s="172" t="str">
        <f>VLOOKUP(Mapping!$F81,_SSPC_90.1,5,FALSE)</f>
        <v>UWBD</v>
      </c>
      <c r="S81" s="172" t="str">
        <f>VLOOKUP(Mapping!$F81,_SSPC_90.1,6,FALSE)</f>
        <v>UWBD</v>
      </c>
      <c r="T81" s="172" t="str">
        <f>VLOOKUP(Mapping!$F81,_SSPC_90.1,7,FALSE)</f>
        <v>UWBD</v>
      </c>
      <c r="U81" s="26" t="str">
        <f>VLOOKUP(Mapping!$F81,_SSPC_90.1,4,FALSE)</f>
        <v>UWBD</v>
      </c>
      <c r="V81" s="231">
        <f>VLOOKUP(Mapping!$I81,_ECB_CS,5,FALSE)</f>
        <v>0.15</v>
      </c>
      <c r="W81" s="135">
        <f>VLOOKUP(Mapping!$J81,_ACM05,6,FALSE)</f>
        <v>60</v>
      </c>
      <c r="X81" s="172">
        <f>VLOOKUP(Mapping!$I81,_ECB_CS,4,FALSE)</f>
        <v>100</v>
      </c>
      <c r="Y81" s="26">
        <f>VLOOKUP(Mapping!$H81,_CEUS,2,FALSE)</f>
        <v>2.2831050228310501E-2</v>
      </c>
      <c r="Z81" s="26">
        <f>VLOOKUP(Mapping!$H81,_CEUS,3,FALSE)</f>
        <v>6.6210045662100453E-2</v>
      </c>
      <c r="AA81" s="32" t="s">
        <v>47</v>
      </c>
      <c r="AB81" s="206" t="s">
        <v>266</v>
      </c>
      <c r="AD81" s="194" t="str">
        <f t="shared" si="4"/>
        <v>ps</v>
      </c>
      <c r="AE81" s="176" t="str">
        <f t="shared" si="5"/>
        <v>Schedule is inherited</v>
      </c>
    </row>
    <row r="82" spans="1:31">
      <c r="A82" s="27" t="s">
        <v>311</v>
      </c>
      <c r="B82" s="26">
        <f>VLOOKUP(Mapping!$E82,_90_1_2001,2,FALSE)</f>
        <v>1.7</v>
      </c>
      <c r="C82" s="26">
        <f>VLOOKUP(Mapping!$D82,_90_1_2007,2,FALSE)</f>
        <v>1.1000000000000001</v>
      </c>
      <c r="D82" s="26">
        <f>VLOOKUP(Mapping!$C82,_90_1_2010,2,FALSE)</f>
        <v>1.06</v>
      </c>
      <c r="E82" s="26">
        <f>VLOOKUP(Mapping!$C82,_90_1_2010,3,FALSE)</f>
        <v>4</v>
      </c>
      <c r="F82" s="26">
        <f>VLOOKUP(Mapping!$B82,_90_1_2016BM,2,FALSE)</f>
        <v>1.1000000000000001</v>
      </c>
      <c r="G82" s="134">
        <v>1</v>
      </c>
      <c r="H82" s="169">
        <f>VLOOKUP(Mapping!$B82,_90_1_2016BM,3,FALSE)</f>
        <v>0.25</v>
      </c>
      <c r="I82" s="26">
        <f>VLOOKUP(Mapping!G82,_Plugs,13,FALSE)</f>
        <v>1.5641288213559472</v>
      </c>
      <c r="J82" s="231">
        <f>VLOOKUP(Mapping!$F82,_SSPC_90.1,3,FALSE)</f>
        <v>1.1100000000000001</v>
      </c>
      <c r="K82" s="26">
        <f>VLOOKUP(Mapping!$G82,_Plugs,14,FALSE)</f>
        <v>2</v>
      </c>
      <c r="L82" s="26">
        <f>VLOOKUP(Mapping!$G82,_Plugs,15,FALSE)</f>
        <v>0.29739776951672864</v>
      </c>
      <c r="M82" s="26">
        <f>VLOOKUP(Mapping!$G82,_Plugs,16,FALSE)</f>
        <v>1</v>
      </c>
      <c r="N82" s="135">
        <v>7</v>
      </c>
      <c r="O82" s="235">
        <f>VLOOKUP(Mapping!$I82,_ECB_CS,2,FALSE)</f>
        <v>100</v>
      </c>
      <c r="P82" s="235">
        <f>VLOOKUP(Mapping!$J82,_ACM05,3,FALSE)</f>
        <v>250</v>
      </c>
      <c r="Q82" s="235">
        <f>VLOOKUP(Mapping!$J82,_ACM05,4,FALSE)</f>
        <v>250</v>
      </c>
      <c r="R82" s="172">
        <f>VLOOKUP(Mapping!$F82,_SSPC_90.1,5,FALSE)</f>
        <v>250</v>
      </c>
      <c r="S82" s="172">
        <f>VLOOKUP(Mapping!$F82,_SSPC_90.1,6,FALSE)</f>
        <v>250</v>
      </c>
      <c r="T82" s="172">
        <f>VLOOKUP(Mapping!$F82,_SSPC_90.1,7,FALSE)</f>
        <v>200</v>
      </c>
      <c r="U82" s="26">
        <f>VLOOKUP(Mapping!$F82,_SSPC_90.1,4,FALSE)</f>
        <v>0.08</v>
      </c>
      <c r="V82" s="231">
        <f>VLOOKUP(Mapping!$I82,_ECB_CS,5,FALSE)</f>
        <v>0.15</v>
      </c>
      <c r="W82" s="135">
        <f>VLOOKUP(Mapping!$J82,_ACM05,6,FALSE)</f>
        <v>120</v>
      </c>
      <c r="X82" s="172">
        <f>VLOOKUP(Mapping!$I82,_ECB_CS,4,FALSE)</f>
        <v>100</v>
      </c>
      <c r="Y82" s="26">
        <f>VLOOKUP(Mapping!$H82,_CEUS,2,FALSE)</f>
        <v>2.2831050228310501E-2</v>
      </c>
      <c r="Z82" s="26">
        <f>VLOOKUP(Mapping!$H82,_CEUS,3,FALSE)</f>
        <v>6.6210045662100453E-2</v>
      </c>
      <c r="AA82" s="32" t="s">
        <v>51</v>
      </c>
      <c r="AB82" s="176" t="s">
        <v>240</v>
      </c>
      <c r="AD82" s="194" t="str">
        <f t="shared" si="4"/>
        <v>D</v>
      </c>
      <c r="AE82" s="176" t="str">
        <f t="shared" si="5"/>
        <v>Hotel, motel, penitentiary</v>
      </c>
    </row>
    <row r="83" spans="1:31">
      <c r="A83" s="27" t="s">
        <v>312</v>
      </c>
      <c r="B83" s="26">
        <f>VLOOKUP(Mapping!$E83,_90_1_2001,2,FALSE)</f>
        <v>0.8</v>
      </c>
      <c r="C83" s="26">
        <f>VLOOKUP(Mapping!$D83,_90_1_2007,2,FALSE)</f>
        <v>1.1000000000000001</v>
      </c>
      <c r="D83" s="26">
        <f>VLOOKUP(Mapping!$C83,_90_1_2010,2,FALSE)</f>
        <v>2</v>
      </c>
      <c r="E83" s="26">
        <f>VLOOKUP(Mapping!$C83,_90_1_2010,3,FALSE)</f>
        <v>6</v>
      </c>
      <c r="F83" s="26">
        <f>VLOOKUP(Mapping!$B83,_90_1_2016BM,2,FALSE)</f>
        <v>1.1000000000000001</v>
      </c>
      <c r="G83" s="134">
        <v>1</v>
      </c>
      <c r="H83" s="169">
        <f>VLOOKUP(Mapping!$B83,_90_1_2016BM,3,FALSE)</f>
        <v>0.25</v>
      </c>
      <c r="I83" s="26">
        <f>VLOOKUP(Mapping!G83,_Plugs,13,FALSE)</f>
        <v>0.74485358050420625</v>
      </c>
      <c r="J83" s="231">
        <f>VLOOKUP(Mapping!$F83,_SSPC_90.1,3,FALSE)</f>
        <v>0.54</v>
      </c>
      <c r="K83" s="26">
        <f>VLOOKUP(Mapping!$G83,_Plugs,14,FALSE)</f>
        <v>2</v>
      </c>
      <c r="L83" s="26">
        <f>VLOOKUP(Mapping!$G83,_Plugs,15,FALSE)</f>
        <v>0.54832713754646845</v>
      </c>
      <c r="M83" s="26">
        <f>VLOOKUP(Mapping!$G83,_Plugs,16,FALSE)</f>
        <v>1</v>
      </c>
      <c r="N83" s="135">
        <v>7</v>
      </c>
      <c r="O83" s="235">
        <f>VLOOKUP(Mapping!$I83,_ECB_CS,2,FALSE)</f>
        <v>100</v>
      </c>
      <c r="P83" s="235">
        <f>VLOOKUP(Mapping!$J83,_ACM05,3,FALSE)</f>
        <v>250</v>
      </c>
      <c r="Q83" s="235">
        <f>VLOOKUP(Mapping!$J83,_ACM05,4,FALSE)</f>
        <v>250</v>
      </c>
      <c r="R83" s="172">
        <f>VLOOKUP(Mapping!$F83,_SSPC_90.1,5,FALSE)</f>
        <v>7</v>
      </c>
      <c r="S83" s="172">
        <f>VLOOKUP(Mapping!$F83,_SSPC_90.1,6,FALSE)</f>
        <v>225</v>
      </c>
      <c r="T83" s="172">
        <f>VLOOKUP(Mapping!$F83,_SSPC_90.1,7,FALSE)</f>
        <v>105</v>
      </c>
      <c r="U83" s="26">
        <f>VLOOKUP(Mapping!$F83,_SSPC_90.1,4,FALSE)</f>
        <v>1.19</v>
      </c>
      <c r="V83" s="231">
        <f>VLOOKUP(Mapping!$I83,_ECB_CS,5,FALSE)</f>
        <v>0.2</v>
      </c>
      <c r="W83" s="135">
        <f>VLOOKUP(Mapping!$J83,_ACM05,6,FALSE)</f>
        <v>60</v>
      </c>
      <c r="X83" s="172">
        <f>VLOOKUP(Mapping!$I83,_ECB_CS,4,FALSE)</f>
        <v>0</v>
      </c>
      <c r="Y83" s="26">
        <f>VLOOKUP(Mapping!$H83,_CEUS,2,FALSE)</f>
        <v>2.2831050228310501E-2</v>
      </c>
      <c r="Z83" s="26">
        <f>VLOOKUP(Mapping!$H83,_CEUS,3,FALSE)</f>
        <v>6.6210045662100453E-2</v>
      </c>
      <c r="AA83" s="32" t="s">
        <v>51</v>
      </c>
      <c r="AB83" s="176" t="s">
        <v>223</v>
      </c>
      <c r="AD83" s="194" t="str">
        <f t="shared" si="4"/>
        <v>H</v>
      </c>
      <c r="AE83" s="176" t="str">
        <f t="shared" si="5"/>
        <v>Convention center, exercise center, motion picture theature, performing arts theater, religious building, sports arena</v>
      </c>
    </row>
    <row r="84" spans="1:31">
      <c r="A84" s="27" t="s">
        <v>313</v>
      </c>
      <c r="B84" s="26">
        <f>VLOOKUP(Mapping!$E84,_90_1_2001,2,FALSE)</f>
        <v>1.2</v>
      </c>
      <c r="C84" s="26">
        <f>VLOOKUP(Mapping!$D84,_90_1_2007,2,FALSE)</f>
        <v>3.3</v>
      </c>
      <c r="D84" s="26">
        <f>VLOOKUP(Mapping!$C84,_90_1_2010,2,FALSE)</f>
        <v>0.52</v>
      </c>
      <c r="E84" s="26">
        <f>VLOOKUP(Mapping!$C84,_90_1_2010,3,FALSE)</f>
        <v>4</v>
      </c>
      <c r="F84" s="26">
        <f>VLOOKUP(Mapping!$B84,_90_1_2016BM,2,FALSE)</f>
        <v>3.3</v>
      </c>
      <c r="G84" s="134">
        <v>1</v>
      </c>
      <c r="H84" s="169">
        <f>VLOOKUP(Mapping!$B84,_90_1_2016BM,3,FALSE)</f>
        <v>0.25</v>
      </c>
      <c r="I84" s="26">
        <f>VLOOKUP(Mapping!G84,_Plugs,13,FALSE)</f>
        <v>0.74485358050420625</v>
      </c>
      <c r="J84" s="231">
        <f>VLOOKUP(Mapping!$F84,_SSPC_90.1,3,FALSE)</f>
        <v>0.5</v>
      </c>
      <c r="K84" s="26">
        <f>VLOOKUP(Mapping!$G84,_Plugs,14,FALSE)</f>
        <v>2</v>
      </c>
      <c r="L84" s="26">
        <f>VLOOKUP(Mapping!$G84,_Plugs,15,FALSE)</f>
        <v>0.54832713754646845</v>
      </c>
      <c r="M84" s="26">
        <f>VLOOKUP(Mapping!$G84,_Plugs,16,FALSE)</f>
        <v>1</v>
      </c>
      <c r="N84" s="135">
        <v>7</v>
      </c>
      <c r="O84" s="235">
        <f>VLOOKUP(Mapping!$I84,_ECB_CS,2,FALSE)</f>
        <v>100</v>
      </c>
      <c r="P84" s="235">
        <f>VLOOKUP(Mapping!$J84,_ACM05,3,FALSE)</f>
        <v>250</v>
      </c>
      <c r="Q84" s="235">
        <f>VLOOKUP(Mapping!$J84,_ACM05,4,FALSE)</f>
        <v>250</v>
      </c>
      <c r="R84" s="172">
        <f>VLOOKUP(Mapping!$F84,_SSPC_90.1,5,FALSE)</f>
        <v>14</v>
      </c>
      <c r="S84" s="172">
        <f>VLOOKUP(Mapping!$F84,_SSPC_90.1,6,FALSE)</f>
        <v>225</v>
      </c>
      <c r="T84" s="172">
        <f>VLOOKUP(Mapping!$F84,_SSPC_90.1,7,FALSE)</f>
        <v>105</v>
      </c>
      <c r="U84" s="26">
        <f>VLOOKUP(Mapping!$F84,_SSPC_90.1,4,FALSE)</f>
        <v>0.76</v>
      </c>
      <c r="V84" s="231">
        <f>VLOOKUP(Mapping!$I84,_ECB_CS,5,FALSE)</f>
        <v>0.2</v>
      </c>
      <c r="W84" s="135">
        <f>VLOOKUP(Mapping!$J84,_ACM05,6,FALSE)</f>
        <v>60</v>
      </c>
      <c r="X84" s="172">
        <f>VLOOKUP(Mapping!$I84,_ECB_CS,4,FALSE)</f>
        <v>0</v>
      </c>
      <c r="Y84" s="26">
        <f>VLOOKUP(Mapping!$H84,_CEUS,2,FALSE)</f>
        <v>2.2831050228310501E-2</v>
      </c>
      <c r="Z84" s="26">
        <f>VLOOKUP(Mapping!$H84,_CEUS,3,FALSE)</f>
        <v>6.6210045662100453E-2</v>
      </c>
      <c r="AA84" s="32" t="s">
        <v>51</v>
      </c>
      <c r="AB84" s="176" t="s">
        <v>223</v>
      </c>
      <c r="AD84" s="194" t="str">
        <f t="shared" si="4"/>
        <v>H</v>
      </c>
      <c r="AE84" s="176" t="str">
        <f t="shared" si="5"/>
        <v>Convention center, exercise center, motion picture theature, performing arts theater, religious building, sports arena</v>
      </c>
    </row>
    <row r="85" spans="1:31">
      <c r="A85" s="27" t="s">
        <v>314</v>
      </c>
      <c r="B85" s="26">
        <f>VLOOKUP(Mapping!$E85,_90_1_2001,2,FALSE)</f>
        <v>1.8</v>
      </c>
      <c r="C85" s="26">
        <f>VLOOKUP(Mapping!$D85,_90_1_2007,2,FALSE)</f>
        <v>1.3</v>
      </c>
      <c r="D85" s="26">
        <f>VLOOKUP(Mapping!$C85,_90_1_2010,2,FALSE)</f>
        <v>0.9</v>
      </c>
      <c r="E85" s="26">
        <f>VLOOKUP(Mapping!$C85,_90_1_2010,3,FALSE)</f>
        <v>4</v>
      </c>
      <c r="F85" s="26">
        <f>VLOOKUP(Mapping!$B85,_90_1_2016BM,2,FALSE)</f>
        <v>1.3</v>
      </c>
      <c r="G85" s="134">
        <v>1</v>
      </c>
      <c r="H85" s="169">
        <f>VLOOKUP(Mapping!$B85,_90_1_2016BM,3,FALSE)</f>
        <v>0.25</v>
      </c>
      <c r="I85" s="26" t="str">
        <f>VLOOKUP(Mapping!G85,_Plugs,13,FALSE)</f>
        <v>UWBD</v>
      </c>
      <c r="J85" s="231" t="str">
        <f>VLOOKUP(Mapping!$F85,_SSPC_90.1,3,FALSE)</f>
        <v>UWBD</v>
      </c>
      <c r="K85" s="26" t="str">
        <f>VLOOKUP(Mapping!$G85,_Plugs,14,FALSE)</f>
        <v>UWBD</v>
      </c>
      <c r="L85" s="26" t="str">
        <f>VLOOKUP(Mapping!$G85,_Plugs,15,FALSE)</f>
        <v>UWBD</v>
      </c>
      <c r="M85" s="26" t="str">
        <f>VLOOKUP(Mapping!$G85,_Plugs,16,FALSE)</f>
        <v>UWBD</v>
      </c>
      <c r="N85" s="135">
        <v>7</v>
      </c>
      <c r="O85" s="235">
        <f>VLOOKUP(Mapping!$I85,_ECB_CS,2,FALSE)</f>
        <v>100</v>
      </c>
      <c r="P85" s="235">
        <f>VLOOKUP(Mapping!$J85,_ACM05,3,FALSE)</f>
        <v>250</v>
      </c>
      <c r="Q85" s="235">
        <f>VLOOKUP(Mapping!$J85,_ACM05,4,FALSE)</f>
        <v>250</v>
      </c>
      <c r="R85" s="172" t="str">
        <f>VLOOKUP(Mapping!$F85,_SSPC_90.1,5,FALSE)</f>
        <v>UWBD</v>
      </c>
      <c r="S85" s="172" t="str">
        <f>VLOOKUP(Mapping!$F85,_SSPC_90.1,6,FALSE)</f>
        <v>UWBD</v>
      </c>
      <c r="T85" s="172" t="str">
        <f>VLOOKUP(Mapping!$F85,_SSPC_90.1,7,FALSE)</f>
        <v>UWBD</v>
      </c>
      <c r="U85" s="26" t="str">
        <f>VLOOKUP(Mapping!$F85,_SSPC_90.1,4,FALSE)</f>
        <v>UWBD</v>
      </c>
      <c r="V85" s="231">
        <f>VLOOKUP(Mapping!$I85,_ECB_CS,5,FALSE)</f>
        <v>0.15</v>
      </c>
      <c r="W85" s="135">
        <f>VLOOKUP(Mapping!$J85,_ACM05,6,FALSE)</f>
        <v>60</v>
      </c>
      <c r="X85" s="172">
        <f>VLOOKUP(Mapping!$I85,_ECB_CS,4,FALSE)</f>
        <v>100</v>
      </c>
      <c r="Y85" s="26">
        <f>VLOOKUP(Mapping!$H85,_CEUS,2,FALSE)</f>
        <v>2.2831050228310501E-2</v>
      </c>
      <c r="Z85" s="26">
        <f>VLOOKUP(Mapping!$H85,_CEUS,3,FALSE)</f>
        <v>6.6210045662100453E-2</v>
      </c>
      <c r="AA85" s="32" t="s">
        <v>51</v>
      </c>
      <c r="AB85" s="206" t="s">
        <v>266</v>
      </c>
      <c r="AD85" s="194" t="str">
        <f t="shared" si="4"/>
        <v>ps</v>
      </c>
      <c r="AE85" s="176" t="str">
        <f t="shared" si="5"/>
        <v>Schedule is inherited</v>
      </c>
    </row>
    <row r="86" spans="1:31">
      <c r="A86" s="27" t="s">
        <v>315</v>
      </c>
      <c r="B86" s="26">
        <f>VLOOKUP(Mapping!$E86,_90_1_2001,2,FALSE)</f>
        <v>0.8</v>
      </c>
      <c r="C86" s="26">
        <f>VLOOKUP(Mapping!$D86,_90_1_2007,2,FALSE)</f>
        <v>0.6</v>
      </c>
      <c r="D86" s="26">
        <f>VLOOKUP(Mapping!$C86,_90_1_2010,2,FALSE)</f>
        <v>0.75</v>
      </c>
      <c r="E86" s="26">
        <f>VLOOKUP(Mapping!$C86,_90_1_2010,3,FALSE)</f>
        <v>6</v>
      </c>
      <c r="F86" s="26">
        <f>VLOOKUP(Mapping!$B86,_90_1_2016BM,2,FALSE)</f>
        <v>0.6</v>
      </c>
      <c r="G86" s="134">
        <v>1</v>
      </c>
      <c r="H86" s="169">
        <f>VLOOKUP(Mapping!$B86,_90_1_2016BM,3,FALSE)</f>
        <v>0.25</v>
      </c>
      <c r="I86" s="26" t="str">
        <f>VLOOKUP(Mapping!G86,_Plugs,13,FALSE)</f>
        <v>n.a.</v>
      </c>
      <c r="J86" s="231" t="str">
        <f>VLOOKUP(Mapping!$F86,_SSPC_90.1,3,FALSE)</f>
        <v>n. a.</v>
      </c>
      <c r="K86" s="26" t="str">
        <f>VLOOKUP(Mapping!$G86,_Plugs,14,FALSE)</f>
        <v>n.a.</v>
      </c>
      <c r="L86" s="26" t="str">
        <f>VLOOKUP(Mapping!$G86,_Plugs,15,FALSE)</f>
        <v>n.a.</v>
      </c>
      <c r="M86" s="26" t="str">
        <f>VLOOKUP(Mapping!$G86,_Plugs,16,FALSE)</f>
        <v>n.a.</v>
      </c>
      <c r="N86" s="135">
        <v>7</v>
      </c>
      <c r="O86" s="235">
        <f>VLOOKUP(Mapping!$I86,_ECB_CS,2,FALSE)</f>
        <v>100</v>
      </c>
      <c r="P86" s="235">
        <f>VLOOKUP(Mapping!$J86,_ACM05,3,FALSE)</f>
        <v>250</v>
      </c>
      <c r="Q86" s="235">
        <f>VLOOKUP(Mapping!$J86,_ACM05,4,FALSE)</f>
        <v>200</v>
      </c>
      <c r="R86" s="172" t="str">
        <f>VLOOKUP(Mapping!$F86,_SSPC_90.1,5,FALSE)</f>
        <v>n. a.</v>
      </c>
      <c r="S86" s="172" t="str">
        <f>VLOOKUP(Mapping!$F86,_SSPC_90.1,6,FALSE)</f>
        <v>n. a.</v>
      </c>
      <c r="T86" s="172" t="str">
        <f>VLOOKUP(Mapping!$F86,_SSPC_90.1,7,FALSE)</f>
        <v>n. a.</v>
      </c>
      <c r="U86" s="26" t="str">
        <f>VLOOKUP(Mapping!$F86,_SSPC_90.1,4,FALSE)</f>
        <v>n. a.</v>
      </c>
      <c r="V86" s="231">
        <f>VLOOKUP(Mapping!$I86,_ECB_CS,5,FALSE)</f>
        <v>0.5</v>
      </c>
      <c r="W86" s="135">
        <f>VLOOKUP(Mapping!$J86,_ACM05,6,FALSE)</f>
        <v>120</v>
      </c>
      <c r="X86" s="172">
        <f>VLOOKUP(Mapping!$I86,_ECB_CS,4,FALSE)</f>
        <v>0</v>
      </c>
      <c r="Y86" s="26">
        <f>VLOOKUP(Mapping!$H86,_CEUS,2,FALSE)</f>
        <v>0.75342465753424659</v>
      </c>
      <c r="Z86" s="26">
        <f>VLOOKUP(Mapping!$H86,_CEUS,3,FALSE)</f>
        <v>9.8173515981735154E-2</v>
      </c>
      <c r="AA86" s="32" t="s">
        <v>51</v>
      </c>
      <c r="AB86" s="206" t="s">
        <v>266</v>
      </c>
      <c r="AD86" s="194" t="str">
        <f t="shared" si="4"/>
        <v>ps</v>
      </c>
      <c r="AE86" s="176" t="str">
        <f t="shared" si="5"/>
        <v>Schedule is inherited</v>
      </c>
    </row>
    <row r="87" spans="1:31">
      <c r="A87" s="27" t="s">
        <v>316</v>
      </c>
      <c r="B87" s="26">
        <f>VLOOKUP(Mapping!$E87,_90_1_2001,2,FALSE)</f>
        <v>1.4</v>
      </c>
      <c r="C87" s="26">
        <f>VLOOKUP(Mapping!$D87,_90_1_2007,2,FALSE)</f>
        <v>0.8</v>
      </c>
      <c r="D87" s="26">
        <f>VLOOKUP(Mapping!$C87,_90_1_2010,2,FALSE)</f>
        <v>1.07</v>
      </c>
      <c r="E87" s="26">
        <f>VLOOKUP(Mapping!$C87,_90_1_2010,3,FALSE)</f>
        <v>6</v>
      </c>
      <c r="F87" s="26">
        <f>VLOOKUP(Mapping!$B87,_90_1_2016BM,2,FALSE)</f>
        <v>0.8</v>
      </c>
      <c r="G87" s="134">
        <v>1</v>
      </c>
      <c r="H87" s="169" t="str">
        <f>VLOOKUP(Mapping!$B87,_90_1_2016BM,3,FALSE)</f>
        <v>n.a.</v>
      </c>
      <c r="I87" s="26">
        <f>VLOOKUP(Mapping!G87,_Plugs,13,FALSE)</f>
        <v>1.2488271893219809</v>
      </c>
      <c r="J87" s="231" t="str">
        <f>VLOOKUP(Mapping!$F87,_SSPC_90.1,3,FALSE)</f>
        <v>UWBD</v>
      </c>
      <c r="K87" s="26">
        <f>VLOOKUP(Mapping!$G87,_Plugs,14,FALSE)</f>
        <v>2</v>
      </c>
      <c r="L87" s="26">
        <f>VLOOKUP(Mapping!$G87,_Plugs,15,FALSE)</f>
        <v>0.762081784386617</v>
      </c>
      <c r="M87" s="26">
        <f>VLOOKUP(Mapping!$G87,_Plugs,16,FALSE)</f>
        <v>1</v>
      </c>
      <c r="N87" s="135">
        <v>7</v>
      </c>
      <c r="O87" s="235">
        <f>VLOOKUP(Mapping!$I87,_ECB_CS,2,FALSE)</f>
        <v>100</v>
      </c>
      <c r="P87" s="235">
        <f>VLOOKUP(Mapping!$J87,_ACM05,3,FALSE)</f>
        <v>250</v>
      </c>
      <c r="Q87" s="235">
        <f>VLOOKUP(Mapping!$J87,_ACM05,4,FALSE)</f>
        <v>250</v>
      </c>
      <c r="R87" s="172" t="str">
        <f>VLOOKUP(Mapping!$F87,_SSPC_90.1,5,FALSE)</f>
        <v>UWBD</v>
      </c>
      <c r="S87" s="172" t="str">
        <f>VLOOKUP(Mapping!$F87,_SSPC_90.1,6,FALSE)</f>
        <v>UWBD</v>
      </c>
      <c r="T87" s="172" t="str">
        <f>VLOOKUP(Mapping!$F87,_SSPC_90.1,7,FALSE)</f>
        <v>UWBD</v>
      </c>
      <c r="U87" s="26" t="str">
        <f>VLOOKUP(Mapping!$F87,_SSPC_90.1,4,FALSE)</f>
        <v>UWBD</v>
      </c>
      <c r="V87" s="231">
        <f>VLOOKUP(Mapping!$I87,_ECB_CS,5,FALSE)</f>
        <v>0.2</v>
      </c>
      <c r="W87" s="135">
        <f>VLOOKUP(Mapping!$J87,_ACM05,6,FALSE)</f>
        <v>120</v>
      </c>
      <c r="X87" s="172">
        <f>VLOOKUP(Mapping!$I87,_ECB_CS,4,FALSE)</f>
        <v>0</v>
      </c>
      <c r="Y87" s="26">
        <f>VLOOKUP(Mapping!$H87,_CEUS,2,FALSE)</f>
        <v>2.2831050228310501E-2</v>
      </c>
      <c r="Z87" s="26">
        <f>VLOOKUP(Mapping!$H87,_CEUS,3,FALSE)</f>
        <v>6.6210045662100453E-2</v>
      </c>
      <c r="AA87" s="32" t="s">
        <v>51</v>
      </c>
      <c r="AB87" s="176" t="s">
        <v>234</v>
      </c>
      <c r="AD87" s="194" t="str">
        <f t="shared" si="4"/>
        <v>E</v>
      </c>
      <c r="AE87" s="176" t="str">
        <f t="shared" si="5"/>
        <v>Fire station, clinic, hospital, police station, transportation</v>
      </c>
    </row>
    <row r="88" spans="1:31">
      <c r="A88" s="27" t="s">
        <v>317</v>
      </c>
      <c r="B88" s="26">
        <f>VLOOKUP(Mapping!$E88,_90_1_2001,2,FALSE)</f>
        <v>1.4</v>
      </c>
      <c r="C88" s="26">
        <f>VLOOKUP(Mapping!$D88,_90_1_2007,2,FALSE)</f>
        <v>1.2</v>
      </c>
      <c r="D88" s="26">
        <f>VLOOKUP(Mapping!$C88,_90_1_2010,2,FALSE)</f>
        <v>0.73</v>
      </c>
      <c r="E88" s="26">
        <f>VLOOKUP(Mapping!$C88,_90_1_2010,3,FALSE)</f>
        <v>4</v>
      </c>
      <c r="F88" s="26">
        <f>VLOOKUP(Mapping!$B88,_90_1_2016BM,2,FALSE)</f>
        <v>1.2</v>
      </c>
      <c r="G88" s="134">
        <v>1</v>
      </c>
      <c r="H88" s="169" t="str">
        <f>VLOOKUP(Mapping!$B88,_90_1_2016BM,3,FALSE)</f>
        <v>n.a.</v>
      </c>
      <c r="I88" s="26" t="str">
        <f>VLOOKUP(Mapping!G88,_Plugs,13,FALSE)</f>
        <v>UWBD</v>
      </c>
      <c r="J88" s="231" t="str">
        <f>VLOOKUP(Mapping!$F88,_SSPC_90.1,3,FALSE)</f>
        <v>UWBD</v>
      </c>
      <c r="K88" s="26" t="str">
        <f>VLOOKUP(Mapping!$G88,_Plugs,14,FALSE)</f>
        <v>UWBD</v>
      </c>
      <c r="L88" s="26" t="str">
        <f>VLOOKUP(Mapping!$G88,_Plugs,15,FALSE)</f>
        <v>UWBD</v>
      </c>
      <c r="M88" s="26" t="str">
        <f>VLOOKUP(Mapping!$G88,_Plugs,16,FALSE)</f>
        <v>UWBD</v>
      </c>
      <c r="N88" s="135">
        <v>7</v>
      </c>
      <c r="O88" s="235">
        <f>VLOOKUP(Mapping!$I88,_ECB_CS,2,FALSE)</f>
        <v>100</v>
      </c>
      <c r="P88" s="235">
        <f>VLOOKUP(Mapping!$J88,_ACM05,3,FALSE)</f>
        <v>275</v>
      </c>
      <c r="Q88" s="235">
        <f>VLOOKUP(Mapping!$J88,_ACM05,4,FALSE)</f>
        <v>275</v>
      </c>
      <c r="R88" s="172" t="str">
        <f>VLOOKUP(Mapping!$F88,_SSPC_90.1,5,FALSE)</f>
        <v>UWBD</v>
      </c>
      <c r="S88" s="172" t="str">
        <f>VLOOKUP(Mapping!$F88,_SSPC_90.1,6,FALSE)</f>
        <v>UWBD</v>
      </c>
      <c r="T88" s="172" t="str">
        <f>VLOOKUP(Mapping!$F88,_SSPC_90.1,7,FALSE)</f>
        <v>UWBD</v>
      </c>
      <c r="U88" s="26" t="str">
        <f>VLOOKUP(Mapping!$F88,_SSPC_90.1,4,FALSE)</f>
        <v>UWBD</v>
      </c>
      <c r="V88" s="231">
        <f>VLOOKUP(Mapping!$I88,_ECB_CS,5,FALSE)</f>
        <v>0.2</v>
      </c>
      <c r="W88" s="135">
        <f>VLOOKUP(Mapping!$J88,_ACM05,6,FALSE)</f>
        <v>60</v>
      </c>
      <c r="X88" s="172">
        <f>VLOOKUP(Mapping!$I88,_ECB_CS,4,FALSE)</f>
        <v>300</v>
      </c>
      <c r="Y88" s="26">
        <f>VLOOKUP(Mapping!$H88,_CEUS,2,FALSE)</f>
        <v>2.2831050228310501E-2</v>
      </c>
      <c r="Z88" s="26">
        <f>VLOOKUP(Mapping!$H88,_CEUS,3,FALSE)</f>
        <v>6.6210045662100453E-2</v>
      </c>
      <c r="AA88" s="32" t="s">
        <v>51</v>
      </c>
      <c r="AB88" s="206" t="s">
        <v>266</v>
      </c>
      <c r="AD88" s="194" t="str">
        <f t="shared" si="4"/>
        <v>ps</v>
      </c>
      <c r="AE88" s="176" t="str">
        <f t="shared" si="5"/>
        <v>Schedule is inherited</v>
      </c>
    </row>
    <row r="89" spans="1:31">
      <c r="A89" s="27" t="s">
        <v>318</v>
      </c>
      <c r="B89" s="26">
        <f>VLOOKUP(Mapping!$E89,_90_1_2001,2,FALSE)</f>
        <v>1.5</v>
      </c>
      <c r="C89" s="26">
        <f>VLOOKUP(Mapping!$D89,_90_1_2007,2,FALSE)</f>
        <v>1.1000000000000001</v>
      </c>
      <c r="D89" s="26">
        <f>VLOOKUP(Mapping!$C89,_90_1_2010,2,FALSE)</f>
        <v>1.1100000000000001</v>
      </c>
      <c r="E89" s="26">
        <f>VLOOKUP(Mapping!$C89,_90_1_2010,3,FALSE)</f>
        <v>8</v>
      </c>
      <c r="F89" s="26">
        <f>VLOOKUP(Mapping!$B89,_90_1_2016BM,2,FALSE)</f>
        <v>1.1000000000000001</v>
      </c>
      <c r="G89" s="134">
        <v>1</v>
      </c>
      <c r="H89" s="169">
        <f>VLOOKUP(Mapping!$B89,_90_1_2016BM,3,FALSE)</f>
        <v>0.3</v>
      </c>
      <c r="I89" s="26">
        <f>VLOOKUP(Mapping!G89,_Plugs,13,FALSE)</f>
        <v>1.672119383011335</v>
      </c>
      <c r="J89" s="231">
        <f>VLOOKUP(Mapping!$F89,_SSPC_90.1,3,FALSE)</f>
        <v>0.75</v>
      </c>
      <c r="K89" s="26">
        <f>VLOOKUP(Mapping!$G89,_Plugs,14,FALSE)</f>
        <v>2</v>
      </c>
      <c r="L89" s="26">
        <f>VLOOKUP(Mapping!$G89,_Plugs,15,FALSE)</f>
        <v>0.77137546468401497</v>
      </c>
      <c r="M89" s="26">
        <f>VLOOKUP(Mapping!$G89,_Plugs,16,FALSE)</f>
        <v>1</v>
      </c>
      <c r="N89" s="135">
        <v>7</v>
      </c>
      <c r="O89" s="235">
        <f>VLOOKUP(Mapping!$I89,_ECB_CS,2,FALSE)</f>
        <v>200</v>
      </c>
      <c r="P89" s="235">
        <f>VLOOKUP(Mapping!$J89,_ACM05,3,FALSE)</f>
        <v>250</v>
      </c>
      <c r="Q89" s="235">
        <f>VLOOKUP(Mapping!$J89,_ACM05,4,FALSE)</f>
        <v>200</v>
      </c>
      <c r="R89" s="172">
        <f>VLOOKUP(Mapping!$F89,_SSPC_90.1,5,FALSE)</f>
        <v>200</v>
      </c>
      <c r="S89" s="172">
        <f>VLOOKUP(Mapping!$F89,_SSPC_90.1,6,FALSE)</f>
        <v>250</v>
      </c>
      <c r="T89" s="172">
        <f>VLOOKUP(Mapping!$F89,_SSPC_90.1,7,FALSE)</f>
        <v>200</v>
      </c>
      <c r="U89" s="26">
        <f>VLOOKUP(Mapping!$F89,_SSPC_90.1,4,FALSE)</f>
        <v>0.09</v>
      </c>
      <c r="V89" s="231">
        <f>VLOOKUP(Mapping!$I89,_ECB_CS,5,FALSE)</f>
        <v>0.1</v>
      </c>
      <c r="W89" s="135">
        <f>VLOOKUP(Mapping!$J89,_ACM05,6,FALSE)</f>
        <v>120</v>
      </c>
      <c r="X89" s="172">
        <f>VLOOKUP(Mapping!$I89,_ECB_CS,4,FALSE)</f>
        <v>300</v>
      </c>
      <c r="Y89" s="26">
        <f>VLOOKUP(Mapping!$H89,_CEUS,2,FALSE)</f>
        <v>0.12557077625570776</v>
      </c>
      <c r="Z89" s="26">
        <f>VLOOKUP(Mapping!$H89,_CEUS,3,FALSE)</f>
        <v>5.3652968036529677E-2</v>
      </c>
      <c r="AA89" s="32" t="s">
        <v>51</v>
      </c>
      <c r="AB89" s="176" t="s">
        <v>225</v>
      </c>
      <c r="AD89" s="194" t="str">
        <f t="shared" si="4"/>
        <v>A</v>
      </c>
      <c r="AE89" s="176" t="str">
        <f t="shared" si="5"/>
        <v>courthouse, office, post office, town hall</v>
      </c>
    </row>
    <row r="90" spans="1:31">
      <c r="A90" s="27" t="s">
        <v>319</v>
      </c>
      <c r="B90" s="26">
        <f>VLOOKUP(Mapping!$E90,_90_1_2001,2,FALSE)</f>
        <v>1.3</v>
      </c>
      <c r="C90" s="26">
        <f>VLOOKUP(Mapping!$D90,_90_1_2007,2,FALSE)</f>
        <v>1.1000000000000001</v>
      </c>
      <c r="D90" s="26">
        <f>VLOOKUP(Mapping!$C90,_90_1_2010,2,FALSE)</f>
        <v>0.98</v>
      </c>
      <c r="E90" s="26">
        <f>VLOOKUP(Mapping!$C90,_90_1_2010,3,FALSE)</f>
        <v>4</v>
      </c>
      <c r="F90" s="26">
        <f>VLOOKUP(Mapping!$B90,_90_1_2016BM,2,FALSE)</f>
        <v>1.1000000000000001</v>
      </c>
      <c r="G90" s="134">
        <v>1</v>
      </c>
      <c r="H90" s="169">
        <f>VLOOKUP(Mapping!$B90,_90_1_2016BM,3,FALSE)</f>
        <v>0.15</v>
      </c>
      <c r="I90" s="26">
        <f>VLOOKUP(Mapping!G90,_Plugs,13,FALSE)</f>
        <v>1.672119383011335</v>
      </c>
      <c r="J90" s="231">
        <f>VLOOKUP(Mapping!$F90,_SSPC_90.1,3,FALSE)</f>
        <v>0.75</v>
      </c>
      <c r="K90" s="26">
        <f>VLOOKUP(Mapping!$G90,_Plugs,14,FALSE)</f>
        <v>2</v>
      </c>
      <c r="L90" s="26">
        <f>VLOOKUP(Mapping!$G90,_Plugs,15,FALSE)</f>
        <v>0.77137546468401497</v>
      </c>
      <c r="M90" s="26">
        <f>VLOOKUP(Mapping!$G90,_Plugs,16,FALSE)</f>
        <v>1</v>
      </c>
      <c r="N90" s="135">
        <v>7</v>
      </c>
      <c r="O90" s="235">
        <f>VLOOKUP(Mapping!$I90,_ECB_CS,2,FALSE)</f>
        <v>200</v>
      </c>
      <c r="P90" s="235">
        <f>VLOOKUP(Mapping!$J90,_ACM05,3,FALSE)</f>
        <v>250</v>
      </c>
      <c r="Q90" s="235">
        <f>VLOOKUP(Mapping!$J90,_ACM05,4,FALSE)</f>
        <v>200</v>
      </c>
      <c r="R90" s="172">
        <f>VLOOKUP(Mapping!$F90,_SSPC_90.1,5,FALSE)</f>
        <v>200</v>
      </c>
      <c r="S90" s="172">
        <f>VLOOKUP(Mapping!$F90,_SSPC_90.1,6,FALSE)</f>
        <v>250</v>
      </c>
      <c r="T90" s="172">
        <f>VLOOKUP(Mapping!$F90,_SSPC_90.1,7,FALSE)</f>
        <v>200</v>
      </c>
      <c r="U90" s="26">
        <f>VLOOKUP(Mapping!$F90,_SSPC_90.1,4,FALSE)</f>
        <v>0.09</v>
      </c>
      <c r="V90" s="231">
        <f>VLOOKUP(Mapping!$I90,_ECB_CS,5,FALSE)</f>
        <v>0.1</v>
      </c>
      <c r="W90" s="135">
        <f>VLOOKUP(Mapping!$J90,_ACM05,6,FALSE)</f>
        <v>120</v>
      </c>
      <c r="X90" s="172">
        <f>VLOOKUP(Mapping!$I90,_ECB_CS,4,FALSE)</f>
        <v>300</v>
      </c>
      <c r="Y90" s="26">
        <f>VLOOKUP(Mapping!$H90,_CEUS,2,FALSE)</f>
        <v>0.12557077625570776</v>
      </c>
      <c r="Z90" s="26">
        <f>VLOOKUP(Mapping!$H90,_CEUS,3,FALSE)</f>
        <v>5.3652968036529677E-2</v>
      </c>
      <c r="AA90" s="32" t="s">
        <v>51</v>
      </c>
      <c r="AB90" s="176" t="s">
        <v>225</v>
      </c>
      <c r="AD90" s="194" t="str">
        <f t="shared" si="4"/>
        <v>A</v>
      </c>
      <c r="AE90" s="176" t="str">
        <f t="shared" si="5"/>
        <v>courthouse, office, post office, town hall</v>
      </c>
    </row>
    <row r="91" spans="1:31">
      <c r="A91" s="27" t="s">
        <v>320</v>
      </c>
      <c r="B91" s="26">
        <f>VLOOKUP(Mapping!$E91,_90_1_2001,2,FALSE)</f>
        <v>0.2</v>
      </c>
      <c r="C91" s="26">
        <f>VLOOKUP(Mapping!$D91,_90_1_2007,2,FALSE)</f>
        <v>0.2</v>
      </c>
      <c r="D91" s="26">
        <f>VLOOKUP(Mapping!$C91,_90_1_2010,2,FALSE)</f>
        <v>0.19</v>
      </c>
      <c r="E91" s="26">
        <f>VLOOKUP(Mapping!$C91,_90_1_2010,3,FALSE)</f>
        <v>4</v>
      </c>
      <c r="F91" s="26">
        <f>VLOOKUP(Mapping!$B91,_90_1_2016BM,2,FALSE)</f>
        <v>0.2</v>
      </c>
      <c r="G91" s="134">
        <v>1</v>
      </c>
      <c r="H91" s="169">
        <f>VLOOKUP(Mapping!$B91,_90_1_2016BM,3,FALSE)</f>
        <v>0.15</v>
      </c>
      <c r="I91" s="26" t="str">
        <f>VLOOKUP(Mapping!G91,_Plugs,13,FALSE)</f>
        <v>n.a.</v>
      </c>
      <c r="J91" s="231">
        <f>VLOOKUP(Mapping!$F91,_SSPC_90.1,3,FALSE)</f>
        <v>0</v>
      </c>
      <c r="K91" s="26" t="str">
        <f>VLOOKUP(Mapping!$G91,_Plugs,14,FALSE)</f>
        <v>n.a.</v>
      </c>
      <c r="L91" s="26" t="str">
        <f>VLOOKUP(Mapping!$G91,_Plugs,15,FALSE)</f>
        <v>n.a.</v>
      </c>
      <c r="M91" s="26" t="str">
        <f>VLOOKUP(Mapping!$G91,_Plugs,16,FALSE)</f>
        <v>n.a.</v>
      </c>
      <c r="N91" s="135">
        <v>7</v>
      </c>
      <c r="O91" s="235" t="str">
        <f>VLOOKUP(Mapping!$I91,_ECB_CS,2,FALSE)</f>
        <v>Uncond.</v>
      </c>
      <c r="P91" s="235">
        <f>VLOOKUP(Mapping!$J91,_ACM05,3,FALSE)</f>
        <v>250</v>
      </c>
      <c r="Q91" s="235">
        <f>VLOOKUP(Mapping!$J91,_ACM05,4,FALSE)</f>
        <v>200</v>
      </c>
      <c r="R91" s="172">
        <f>VLOOKUP(Mapping!$F91,_SSPC_90.1,5,FALSE)</f>
        <v>0</v>
      </c>
      <c r="S91" s="172">
        <f>VLOOKUP(Mapping!$F91,_SSPC_90.1,6,FALSE)</f>
        <v>250</v>
      </c>
      <c r="T91" s="172">
        <f>VLOOKUP(Mapping!$F91,_SSPC_90.1,7,FALSE)</f>
        <v>200</v>
      </c>
      <c r="U91" s="26">
        <f>VLOOKUP(Mapping!$F91,_SSPC_90.1,4,FALSE)</f>
        <v>0</v>
      </c>
      <c r="V91" s="231">
        <f>VLOOKUP(Mapping!$I91,_ECB_CS,5,FALSE)</f>
        <v>0</v>
      </c>
      <c r="W91" s="135">
        <f>VLOOKUP(Mapping!$J91,_ACM05,6,FALSE)</f>
        <v>120</v>
      </c>
      <c r="X91" s="172">
        <f>VLOOKUP(Mapping!$I91,_ECB_CS,4,FALSE)</f>
        <v>0</v>
      </c>
      <c r="Y91" s="26">
        <f>VLOOKUP(Mapping!$H91,_CEUS,2,FALSE)</f>
        <v>0</v>
      </c>
      <c r="Z91" s="26">
        <f>VLOOKUP(Mapping!$H91,_CEUS,3,FALSE)</f>
        <v>3.1963470319634701E-2</v>
      </c>
      <c r="AA91" s="32" t="s">
        <v>51</v>
      </c>
      <c r="AB91" s="176" t="s">
        <v>250</v>
      </c>
      <c r="AD91" s="194" t="str">
        <f t="shared" si="4"/>
        <v>K</v>
      </c>
      <c r="AE91" s="176" t="str">
        <f t="shared" si="5"/>
        <v>Parking garage</v>
      </c>
    </row>
    <row r="92" spans="1:31">
      <c r="A92" s="27" t="s">
        <v>321</v>
      </c>
      <c r="B92" s="26">
        <f>VLOOKUP(Mapping!$E92,_90_1_2001,2,FALSE)</f>
        <v>2.2999999999999998</v>
      </c>
      <c r="C92" s="26">
        <f>VLOOKUP(Mapping!$D92,_90_1_2007,2,FALSE)</f>
        <v>1.2</v>
      </c>
      <c r="D92" s="26">
        <f>VLOOKUP(Mapping!$C92,_90_1_2010,2,FALSE)</f>
        <v>1.1399999999999999</v>
      </c>
      <c r="E92" s="26">
        <f>VLOOKUP(Mapping!$C92,_90_1_2010,3,FALSE)</f>
        <v>6</v>
      </c>
      <c r="F92" s="26">
        <f>VLOOKUP(Mapping!$B92,_90_1_2016BM,2,FALSE)</f>
        <v>1.2</v>
      </c>
      <c r="G92" s="134">
        <v>1</v>
      </c>
      <c r="H92" s="169">
        <f>VLOOKUP(Mapping!$B92,_90_1_2016BM,3,FALSE)</f>
        <v>0.1</v>
      </c>
      <c r="I92" s="26">
        <f>VLOOKUP(Mapping!G92,_Plugs,13,FALSE)</f>
        <v>0.549276732341064</v>
      </c>
      <c r="J92" s="231">
        <f>VLOOKUP(Mapping!$F92,_SSPC_90.1,3,FALSE)</f>
        <v>0.3</v>
      </c>
      <c r="K92" s="26">
        <f>VLOOKUP(Mapping!$G92,_Plugs,14,FALSE)</f>
        <v>2</v>
      </c>
      <c r="L92" s="26">
        <f>VLOOKUP(Mapping!$G92,_Plugs,15,FALSE)</f>
        <v>0.34386617100371747</v>
      </c>
      <c r="M92" s="26">
        <f>VLOOKUP(Mapping!$G92,_Plugs,16,FALSE)</f>
        <v>1</v>
      </c>
      <c r="N92" s="135">
        <v>7</v>
      </c>
      <c r="O92" s="235">
        <f>VLOOKUP(Mapping!$I92,_ECB_CS,2,FALSE)</f>
        <v>200</v>
      </c>
      <c r="P92" s="235">
        <f>VLOOKUP(Mapping!$J92,_ACM05,3,FALSE)</f>
        <v>250</v>
      </c>
      <c r="Q92" s="235">
        <f>VLOOKUP(Mapping!$J92,_ACM05,4,FALSE)</f>
        <v>200</v>
      </c>
      <c r="R92" s="172">
        <f>VLOOKUP(Mapping!$F92,_SSPC_90.1,5,FALSE)</f>
        <v>67</v>
      </c>
      <c r="S92" s="172">
        <f>VLOOKUP(Mapping!$F92,_SSPC_90.1,6,FALSE)</f>
        <v>250</v>
      </c>
      <c r="T92" s="172">
        <f>VLOOKUP(Mapping!$F92,_SSPC_90.1,7,FALSE)</f>
        <v>200</v>
      </c>
      <c r="U92" s="26">
        <f>VLOOKUP(Mapping!$F92,_SSPC_90.1,4,FALSE)</f>
        <v>0.23</v>
      </c>
      <c r="V92" s="231">
        <f>VLOOKUP(Mapping!$I92,_ECB_CS,5,FALSE)</f>
        <v>7.4999999999999997E-2</v>
      </c>
      <c r="W92" s="135">
        <f>VLOOKUP(Mapping!$J92,_ACM05,6,FALSE)</f>
        <v>120</v>
      </c>
      <c r="X92" s="172">
        <f>VLOOKUP(Mapping!$I92,_ECB_CS,4,FALSE)</f>
        <v>150</v>
      </c>
      <c r="Y92" s="26">
        <f>VLOOKUP(Mapping!$H92,_CEUS,2,FALSE)</f>
        <v>9.1324200913242004E-2</v>
      </c>
      <c r="Z92" s="26">
        <f>VLOOKUP(Mapping!$H92,_CEUS,3,FALSE)</f>
        <v>0.11757990867579908</v>
      </c>
      <c r="AA92" s="32" t="s">
        <v>51</v>
      </c>
      <c r="AB92" s="177" t="s">
        <v>234</v>
      </c>
      <c r="AD92" s="194" t="str">
        <f t="shared" si="4"/>
        <v>E</v>
      </c>
      <c r="AE92" s="176" t="str">
        <f t="shared" si="5"/>
        <v>Fire station, clinic, hospital, police station, transportation</v>
      </c>
    </row>
    <row r="93" spans="1:31">
      <c r="A93" s="27" t="s">
        <v>322</v>
      </c>
      <c r="B93" s="26">
        <f>VLOOKUP(Mapping!$E93,_90_1_2001,2,FALSE)</f>
        <v>1</v>
      </c>
      <c r="C93" s="26">
        <f>VLOOKUP(Mapping!$D93,_90_1_2007,2,FALSE)</f>
        <v>0.9</v>
      </c>
      <c r="D93" s="26">
        <f>VLOOKUP(Mapping!$C93,_90_1_2010,2,FALSE)</f>
        <v>0.98</v>
      </c>
      <c r="E93" s="26">
        <f>VLOOKUP(Mapping!$C93,_90_1_2010,3,FALSE)</f>
        <v>8</v>
      </c>
      <c r="F93" s="26">
        <f>VLOOKUP(Mapping!$B93,_90_1_2016BM,2,FALSE)</f>
        <v>1.52</v>
      </c>
      <c r="G93" s="134">
        <v>1</v>
      </c>
      <c r="H93" s="169">
        <f>VLOOKUP(Mapping!$B93,_90_1_2016BM,3,FALSE)</f>
        <v>0.45</v>
      </c>
      <c r="I93" s="26">
        <f>VLOOKUP(Mapping!G93,_Plugs,13,FALSE)</f>
        <v>1.4046493036603716</v>
      </c>
      <c r="J93" s="231">
        <f>VLOOKUP(Mapping!$F93,_SSPC_90.1,3,FALSE)</f>
        <v>1.1100000000000001</v>
      </c>
      <c r="K93" s="26">
        <f>VLOOKUP(Mapping!$G93,_Plugs,14,FALSE)</f>
        <v>2</v>
      </c>
      <c r="L93" s="26">
        <f>VLOOKUP(Mapping!$G93,_Plugs,15,FALSE)</f>
        <v>1.1152416356877324</v>
      </c>
      <c r="M93" s="26">
        <f>VLOOKUP(Mapping!$G93,_Plugs,16,FALSE)</f>
        <v>1</v>
      </c>
      <c r="N93" s="135">
        <v>7</v>
      </c>
      <c r="O93" s="235">
        <f>VLOOKUP(Mapping!$I93,_ECB_CS,2,FALSE)</f>
        <v>300</v>
      </c>
      <c r="P93" s="235">
        <f>VLOOKUP(Mapping!$J93,_ACM05,3,FALSE)</f>
        <v>250</v>
      </c>
      <c r="Q93" s="235">
        <f>VLOOKUP(Mapping!$J93,_ACM05,4,FALSE)</f>
        <v>250</v>
      </c>
      <c r="R93" s="172">
        <f>VLOOKUP(Mapping!$F93,_SSPC_90.1,5,FALSE)</f>
        <v>250</v>
      </c>
      <c r="S93" s="172">
        <f>VLOOKUP(Mapping!$F93,_SSPC_90.1,6,FALSE)</f>
        <v>250</v>
      </c>
      <c r="T93" s="172">
        <f>VLOOKUP(Mapping!$F93,_SSPC_90.1,7,FALSE)</f>
        <v>200</v>
      </c>
      <c r="U93" s="26">
        <f>VLOOKUP(Mapping!$F93,_SSPC_90.1,4,FALSE)</f>
        <v>0.08</v>
      </c>
      <c r="V93" s="231">
        <f>VLOOKUP(Mapping!$I93,_ECB_CS,5,FALSE)</f>
        <v>0.16700000000000001</v>
      </c>
      <c r="W93" s="135">
        <f>VLOOKUP(Mapping!$J93,_ACM05,6,FALSE)</f>
        <v>0</v>
      </c>
      <c r="X93" s="172">
        <f>VLOOKUP(Mapping!$I93,_ECB_CS,4,FALSE)</f>
        <v>0</v>
      </c>
      <c r="Y93" s="26">
        <f>VLOOKUP(Mapping!$H93,_CEUS,2,FALSE)</f>
        <v>0.69634703196347048</v>
      </c>
      <c r="Z93" s="26">
        <f>VLOOKUP(Mapping!$H93,_CEUS,3,FALSE)</f>
        <v>0.10273972602739725</v>
      </c>
      <c r="AA93" s="32" t="s">
        <v>47</v>
      </c>
      <c r="AB93" s="177" t="s">
        <v>231</v>
      </c>
      <c r="AD93" s="194" t="str">
        <f t="shared" si="4"/>
        <v>F</v>
      </c>
      <c r="AE93" s="176" t="str">
        <f t="shared" si="5"/>
        <v>Dormatory, multifamily</v>
      </c>
    </row>
    <row r="94" spans="1:31">
      <c r="A94" s="27" t="s">
        <v>323</v>
      </c>
      <c r="B94" s="26">
        <f>VLOOKUP(Mapping!$E94,_90_1_2001,2,FALSE)</f>
        <v>1</v>
      </c>
      <c r="C94" s="26">
        <f>VLOOKUP(Mapping!$D94,_90_1_2007,2,FALSE)</f>
        <v>0.9</v>
      </c>
      <c r="D94" s="26">
        <f>VLOOKUP(Mapping!$C94,_90_1_2010,2,FALSE)</f>
        <v>0.98</v>
      </c>
      <c r="E94" s="26">
        <f>VLOOKUP(Mapping!$C94,_90_1_2010,3,FALSE)</f>
        <v>8</v>
      </c>
      <c r="F94" s="26">
        <f>VLOOKUP(Mapping!$B94,_90_1_2016BM,2,FALSE)</f>
        <v>0.9</v>
      </c>
      <c r="G94" s="134">
        <v>1</v>
      </c>
      <c r="H94" s="169">
        <f>VLOOKUP(Mapping!$B94,_90_1_2016BM,3,FALSE)</f>
        <v>0.45</v>
      </c>
      <c r="I94" s="26" t="str">
        <f>VLOOKUP(Mapping!G94,_Plugs,13,FALSE)</f>
        <v>UWBD</v>
      </c>
      <c r="J94" s="231" t="str">
        <f>VLOOKUP(Mapping!$F94,_SSPC_90.1,3,FALSE)</f>
        <v>UWBD</v>
      </c>
      <c r="K94" s="26" t="str">
        <f>VLOOKUP(Mapping!$G94,_Plugs,14,FALSE)</f>
        <v>UWBD</v>
      </c>
      <c r="L94" s="26" t="str">
        <f>VLOOKUP(Mapping!$G94,_Plugs,15,FALSE)</f>
        <v>UWBD</v>
      </c>
      <c r="M94" s="26" t="str">
        <f>VLOOKUP(Mapping!$G94,_Plugs,16,FALSE)</f>
        <v>UWBD</v>
      </c>
      <c r="N94" s="135">
        <v>7</v>
      </c>
      <c r="O94" s="235">
        <f>VLOOKUP(Mapping!$I94,_ECB_CS,2,FALSE)</f>
        <v>300</v>
      </c>
      <c r="P94" s="235">
        <f>VLOOKUP(Mapping!$J94,_ACM05,3,FALSE)</f>
        <v>250</v>
      </c>
      <c r="Q94" s="235">
        <f>VLOOKUP(Mapping!$J94,_ACM05,4,FALSE)</f>
        <v>250</v>
      </c>
      <c r="R94" s="172" t="str">
        <f>VLOOKUP(Mapping!$F94,_SSPC_90.1,5,FALSE)</f>
        <v>UWBD</v>
      </c>
      <c r="S94" s="172" t="str">
        <f>VLOOKUP(Mapping!$F94,_SSPC_90.1,6,FALSE)</f>
        <v>UWBD</v>
      </c>
      <c r="T94" s="172" t="str">
        <f>VLOOKUP(Mapping!$F94,_SSPC_90.1,7,FALSE)</f>
        <v>UWBD</v>
      </c>
      <c r="U94" s="26" t="str">
        <f>VLOOKUP(Mapping!$F94,_SSPC_90.1,4,FALSE)</f>
        <v>UWBD</v>
      </c>
      <c r="V94" s="231">
        <f>VLOOKUP(Mapping!$I94,_ECB_CS,5,FALSE)</f>
        <v>0.16700000000000001</v>
      </c>
      <c r="W94" s="135">
        <f>VLOOKUP(Mapping!$J94,_ACM05,6,FALSE)</f>
        <v>0</v>
      </c>
      <c r="X94" s="172">
        <f>VLOOKUP(Mapping!$I94,_ECB_CS,4,FALSE)</f>
        <v>0</v>
      </c>
      <c r="Y94" s="26" t="str">
        <f>VLOOKUP(Mapping!$H94,_CEUS,2,FALSE)</f>
        <v>n.a.</v>
      </c>
      <c r="Z94" s="26" t="str">
        <f>VLOOKUP(Mapping!$H94,_CEUS,3,FALSE)</f>
        <v>n.a.</v>
      </c>
      <c r="AA94" s="32" t="s">
        <v>47</v>
      </c>
      <c r="AB94" s="177" t="s">
        <v>266</v>
      </c>
      <c r="AD94" s="194" t="str">
        <f t="shared" si="4"/>
        <v>ps</v>
      </c>
      <c r="AE94" s="176" t="str">
        <f t="shared" si="5"/>
        <v>Schedule is inherited</v>
      </c>
    </row>
    <row r="95" spans="1:31">
      <c r="A95" s="27" t="s">
        <v>324</v>
      </c>
      <c r="B95" s="26">
        <f>VLOOKUP(Mapping!$E95,_90_1_2001,2,FALSE)</f>
        <v>2.1</v>
      </c>
      <c r="C95" s="26">
        <f>VLOOKUP(Mapping!$D95,_90_1_2007,2,FALSE)</f>
        <v>1.7</v>
      </c>
      <c r="D95" s="26">
        <f>VLOOKUP(Mapping!$C95,_90_1_2010,2,FALSE)</f>
        <v>1.68</v>
      </c>
      <c r="E95" s="26">
        <f>VLOOKUP(Mapping!$C95,_90_1_2010,3,FALSE)</f>
        <v>6</v>
      </c>
      <c r="F95" s="26">
        <f>VLOOKUP(Mapping!$B95,_90_1_2016BM,2,FALSE)</f>
        <v>1.7</v>
      </c>
      <c r="G95" s="134">
        <v>1</v>
      </c>
      <c r="H95" s="169">
        <f>VLOOKUP(Mapping!$B95,_90_1_2016BM,3,FALSE)</f>
        <v>0.1</v>
      </c>
      <c r="I95" s="26">
        <f>VLOOKUP(Mapping!G95,_Plugs,13,FALSE)</f>
        <v>0.549276732341064</v>
      </c>
      <c r="J95" s="231">
        <f>VLOOKUP(Mapping!$F95,_SSPC_90.1,3,FALSE)</f>
        <v>0.3</v>
      </c>
      <c r="K95" s="26">
        <f>VLOOKUP(Mapping!$G95,_Plugs,14,FALSE)</f>
        <v>2</v>
      </c>
      <c r="L95" s="26">
        <f>VLOOKUP(Mapping!$G95,_Plugs,15,FALSE)</f>
        <v>0.34386617100371747</v>
      </c>
      <c r="M95" s="26">
        <f>VLOOKUP(Mapping!$G95,_Plugs,16,FALSE)</f>
        <v>1</v>
      </c>
      <c r="N95" s="135">
        <v>7</v>
      </c>
      <c r="O95" s="235">
        <f>VLOOKUP(Mapping!$I95,_ECB_CS,2,FALSE)</f>
        <v>300</v>
      </c>
      <c r="P95" s="235">
        <f>VLOOKUP(Mapping!$J95,_ACM05,3,FALSE)</f>
        <v>250</v>
      </c>
      <c r="Q95" s="235">
        <f>VLOOKUP(Mapping!$J95,_ACM05,4,FALSE)</f>
        <v>200</v>
      </c>
      <c r="R95" s="172">
        <f>VLOOKUP(Mapping!$F95,_SSPC_90.1,5,FALSE)</f>
        <v>67</v>
      </c>
      <c r="S95" s="172">
        <f>VLOOKUP(Mapping!$F95,_SSPC_90.1,6,FALSE)</f>
        <v>250</v>
      </c>
      <c r="T95" s="172">
        <f>VLOOKUP(Mapping!$F95,_SSPC_90.1,7,FALSE)</f>
        <v>200</v>
      </c>
      <c r="U95" s="26">
        <f>VLOOKUP(Mapping!$F95,_SSPC_90.1,4,FALSE)</f>
        <v>0.23</v>
      </c>
      <c r="V95" s="231">
        <f>VLOOKUP(Mapping!$I95,_ECB_CS,5,FALSE)</f>
        <v>0.2</v>
      </c>
      <c r="W95" s="135">
        <f>VLOOKUP(Mapping!$J95,_ACM05,6,FALSE)</f>
        <v>120</v>
      </c>
      <c r="X95" s="172">
        <f>VLOOKUP(Mapping!$I95,_ECB_CS,4,FALSE)</f>
        <v>135</v>
      </c>
      <c r="Y95" s="26">
        <f>VLOOKUP(Mapping!$H95,_CEUS,2,FALSE)</f>
        <v>9.1324200913242004E-2</v>
      </c>
      <c r="Z95" s="26">
        <f>VLOOKUP(Mapping!$H95,_CEUS,3,FALSE)</f>
        <v>0.11757990867579908</v>
      </c>
      <c r="AA95" s="32" t="s">
        <v>51</v>
      </c>
      <c r="AB95" s="177" t="s">
        <v>242</v>
      </c>
      <c r="AD95" s="194" t="str">
        <f t="shared" si="4"/>
        <v>C</v>
      </c>
      <c r="AE95" s="176" t="str">
        <f t="shared" si="5"/>
        <v>Library, museum, retail</v>
      </c>
    </row>
    <row r="96" spans="1:31">
      <c r="A96" s="27" t="s">
        <v>325</v>
      </c>
      <c r="B96" s="26">
        <f>VLOOKUP(Mapping!$E96,_90_1_2001,2,FALSE)</f>
        <v>1.6</v>
      </c>
      <c r="C96" s="26">
        <f>VLOOKUP(Mapping!$D96,_90_1_2007,2,FALSE)</f>
        <v>0.9</v>
      </c>
      <c r="D96" s="26">
        <f>VLOOKUP(Mapping!$C96,_90_1_2010,2,FALSE)</f>
        <v>0.79</v>
      </c>
      <c r="E96" s="26">
        <f>VLOOKUP(Mapping!$C96,_90_1_2010,3,FALSE)</f>
        <v>6</v>
      </c>
      <c r="F96" s="26">
        <f>VLOOKUP(Mapping!$B96,_90_1_2016BM,2,FALSE)</f>
        <v>0.68</v>
      </c>
      <c r="G96" s="134">
        <v>1</v>
      </c>
      <c r="H96" s="169">
        <f>VLOOKUP(Mapping!$B96,_90_1_2016BM,3,FALSE)</f>
        <v>0.1</v>
      </c>
      <c r="I96" s="26" t="str">
        <f>VLOOKUP(Mapping!G96,_Plugs,13,FALSE)</f>
        <v>UWBD</v>
      </c>
      <c r="J96" s="231" t="str">
        <f>VLOOKUP(Mapping!$F96,_SSPC_90.1,3,FALSE)</f>
        <v>UWBD</v>
      </c>
      <c r="K96" s="26" t="str">
        <f>VLOOKUP(Mapping!$G96,_Plugs,14,FALSE)</f>
        <v>UWBD</v>
      </c>
      <c r="L96" s="26" t="str">
        <f>VLOOKUP(Mapping!$G96,_Plugs,15,FALSE)</f>
        <v>UWBD</v>
      </c>
      <c r="M96" s="26" t="str">
        <f>VLOOKUP(Mapping!$G96,_Plugs,16,FALSE)</f>
        <v>UWBD</v>
      </c>
      <c r="N96" s="135">
        <v>7</v>
      </c>
      <c r="O96" s="235" t="str">
        <f>VLOOKUP(Mapping!$I96,_ECB_CS,2,FALSE)</f>
        <v>n.a.</v>
      </c>
      <c r="P96" s="235" t="str">
        <f>VLOOKUP(Mapping!$J96,_ACM05,3,FALSE)</f>
        <v>UWBD</v>
      </c>
      <c r="Q96" s="235" t="str">
        <f>VLOOKUP(Mapping!$J96,_ACM05,4,FALSE)</f>
        <v>UWBD</v>
      </c>
      <c r="R96" s="172" t="str">
        <f>VLOOKUP(Mapping!$F96,_SSPC_90.1,5,FALSE)</f>
        <v>UWBD</v>
      </c>
      <c r="S96" s="172" t="str">
        <f>VLOOKUP(Mapping!$F96,_SSPC_90.1,6,FALSE)</f>
        <v>UWBD</v>
      </c>
      <c r="T96" s="172" t="str">
        <f>VLOOKUP(Mapping!$F96,_SSPC_90.1,7,FALSE)</f>
        <v>UWBD</v>
      </c>
      <c r="U96" s="26" t="str">
        <f>VLOOKUP(Mapping!$F96,_SSPC_90.1,4,FALSE)</f>
        <v>UWBD</v>
      </c>
      <c r="V96" s="231" t="str">
        <f>VLOOKUP(Mapping!$I96,_ECB_CS,5,FALSE)</f>
        <v>n.a.</v>
      </c>
      <c r="W96" s="135" t="str">
        <f>VLOOKUP(Mapping!$J96,_ACM05,6,FALSE)</f>
        <v>UWBD</v>
      </c>
      <c r="X96" s="172" t="str">
        <f>VLOOKUP(Mapping!$I96,_ECB_CS,4,FALSE)</f>
        <v>n.a.</v>
      </c>
      <c r="Y96" s="26" t="str">
        <f>VLOOKUP(Mapping!$H96,_CEUS,2,FALSE)</f>
        <v>n.a.</v>
      </c>
      <c r="Z96" s="26" t="str">
        <f>VLOOKUP(Mapping!$H96,_CEUS,3,FALSE)</f>
        <v>n.a.</v>
      </c>
      <c r="AA96" s="32" t="s">
        <v>51</v>
      </c>
      <c r="AB96" s="177" t="s">
        <v>266</v>
      </c>
      <c r="AD96" s="194" t="str">
        <f t="shared" si="4"/>
        <v>ps</v>
      </c>
      <c r="AE96" s="176" t="str">
        <f t="shared" si="5"/>
        <v>Schedule is inherited</v>
      </c>
    </row>
    <row r="97" spans="1:31">
      <c r="A97" s="27" t="s">
        <v>326</v>
      </c>
      <c r="B97" s="26">
        <f>VLOOKUP(Mapping!$E97,_90_1_2001,2,FALSE)</f>
        <v>0.9</v>
      </c>
      <c r="C97" s="26">
        <f>VLOOKUP(Mapping!$D97,_90_1_2007,2,FALSE)</f>
        <v>0.6</v>
      </c>
      <c r="D97" s="26">
        <f>VLOOKUP(Mapping!$C97,_90_1_2010,2,FALSE)</f>
        <v>0.69</v>
      </c>
      <c r="E97" s="26">
        <f>VLOOKUP(Mapping!$C97,_90_1_2010,3,FALSE)</f>
        <v>10</v>
      </c>
      <c r="F97" s="26">
        <f>VLOOKUP(Mapping!$B97,_90_1_2016BM,2,FALSE)</f>
        <v>0.6</v>
      </c>
      <c r="G97" s="134">
        <v>1</v>
      </c>
      <c r="H97" s="169">
        <f>VLOOKUP(Mapping!$B97,_90_1_2016BM,3,FALSE)</f>
        <v>0.75</v>
      </c>
      <c r="I97" s="26" t="str">
        <f>VLOOKUP(Mapping!G97,_Plugs,13,FALSE)</f>
        <v>UWBD</v>
      </c>
      <c r="J97" s="231" t="str">
        <f>VLOOKUP(Mapping!$F97,_SSPC_90.1,3,FALSE)</f>
        <v>UWBD</v>
      </c>
      <c r="K97" s="26" t="str">
        <f>VLOOKUP(Mapping!$G97,_Plugs,14,FALSE)</f>
        <v>UWBD</v>
      </c>
      <c r="L97" s="26" t="str">
        <f>VLOOKUP(Mapping!$G97,_Plugs,15,FALSE)</f>
        <v>UWBD</v>
      </c>
      <c r="M97" s="26" t="str">
        <f>VLOOKUP(Mapping!$G97,_Plugs,16,FALSE)</f>
        <v>UWBD</v>
      </c>
      <c r="N97" s="135">
        <v>7</v>
      </c>
      <c r="O97" s="235">
        <f>VLOOKUP(Mapping!$I97,_ECB_CS,2,FALSE)</f>
        <v>1000</v>
      </c>
      <c r="P97" s="235">
        <f>VLOOKUP(Mapping!$J97,_ACM05,3,FALSE)</f>
        <v>250</v>
      </c>
      <c r="Q97" s="235">
        <f>VLOOKUP(Mapping!$J97,_ACM05,4,FALSE)</f>
        <v>250</v>
      </c>
      <c r="R97" s="172" t="str">
        <f>VLOOKUP(Mapping!$F97,_SSPC_90.1,5,FALSE)</f>
        <v>UWBD</v>
      </c>
      <c r="S97" s="172" t="str">
        <f>VLOOKUP(Mapping!$F97,_SSPC_90.1,6,FALSE)</f>
        <v>UWBD</v>
      </c>
      <c r="T97" s="172" t="str">
        <f>VLOOKUP(Mapping!$F97,_SSPC_90.1,7,FALSE)</f>
        <v>UWBD</v>
      </c>
      <c r="U97" s="26" t="str">
        <f>VLOOKUP(Mapping!$F97,_SSPC_90.1,4,FALSE)</f>
        <v>UWBD</v>
      </c>
      <c r="V97" s="231">
        <f>VLOOKUP(Mapping!$I97,_ECB_CS,5,FALSE)</f>
        <v>0.05</v>
      </c>
      <c r="W97" s="135">
        <f>VLOOKUP(Mapping!$J97,_ACM05,6,FALSE)</f>
        <v>0</v>
      </c>
      <c r="X97" s="172">
        <f>VLOOKUP(Mapping!$I97,_ECB_CS,4,FALSE)</f>
        <v>0</v>
      </c>
      <c r="Y97" s="26" t="str">
        <f>VLOOKUP(Mapping!$H97,_CEUS,2,FALSE)</f>
        <v>n.a.</v>
      </c>
      <c r="Z97" s="26" t="str">
        <f>VLOOKUP(Mapping!$H97,_CEUS,3,FALSE)</f>
        <v>n.a.</v>
      </c>
      <c r="AA97" s="32" t="s">
        <v>47</v>
      </c>
      <c r="AB97" s="177" t="s">
        <v>266</v>
      </c>
      <c r="AD97" s="194" t="str">
        <f t="shared" si="4"/>
        <v>ps</v>
      </c>
      <c r="AE97" s="176" t="str">
        <f t="shared" si="5"/>
        <v>Schedule is inherited</v>
      </c>
    </row>
    <row r="98" spans="1:31">
      <c r="A98" s="27" t="s">
        <v>327</v>
      </c>
      <c r="B98" s="26">
        <f>VLOOKUP(Mapping!$E98,_90_1_2001,2,FALSE)</f>
        <v>3</v>
      </c>
      <c r="C98" s="26">
        <f>VLOOKUP(Mapping!$D98,_90_1_2007,2,FALSE)</f>
        <v>1.4</v>
      </c>
      <c r="D98" s="26">
        <f>VLOOKUP(Mapping!$C98,_90_1_2010,2,FALSE)</f>
        <v>1.27</v>
      </c>
      <c r="E98" s="26">
        <f>VLOOKUP(Mapping!$C98,_90_1_2010,3,FALSE)</f>
        <v>6</v>
      </c>
      <c r="F98" s="26">
        <f>VLOOKUP(Mapping!$B98,_90_1_2016BM,2,FALSE)</f>
        <v>0.9</v>
      </c>
      <c r="G98" s="134">
        <v>1</v>
      </c>
      <c r="H98" s="169">
        <f>VLOOKUP(Mapping!$B98,_90_1_2016BM,3,FALSE)</f>
        <v>0.45</v>
      </c>
      <c r="I98" s="26">
        <f>VLOOKUP(Mapping!G98,_Plugs,13,FALSE)</f>
        <v>1.2488271893219809</v>
      </c>
      <c r="J98" s="231">
        <f>VLOOKUP(Mapping!$F98,_SSPC_90.1,3,FALSE)</f>
        <v>2</v>
      </c>
      <c r="K98" s="26">
        <f>VLOOKUP(Mapping!$G98,_Plugs,14,FALSE)</f>
        <v>2</v>
      </c>
      <c r="L98" s="26">
        <f>VLOOKUP(Mapping!$G98,_Plugs,15,FALSE)</f>
        <v>0.762081784386617</v>
      </c>
      <c r="M98" s="26">
        <f>VLOOKUP(Mapping!$G98,_Plugs,16,FALSE)</f>
        <v>1</v>
      </c>
      <c r="N98" s="135">
        <v>7</v>
      </c>
      <c r="O98" s="235">
        <f>VLOOKUP(Mapping!$I98,_ECB_CS,2,FALSE)</f>
        <v>200</v>
      </c>
      <c r="P98" s="235">
        <f>VLOOKUP(Mapping!$J98,_ACM05,3,FALSE)</f>
        <v>250</v>
      </c>
      <c r="Q98" s="235">
        <f>VLOOKUP(Mapping!$J98,_ACM05,4,FALSE)</f>
        <v>200</v>
      </c>
      <c r="R98" s="172">
        <f>VLOOKUP(Mapping!$F98,_SSPC_90.1,5,FALSE)</f>
        <v>200</v>
      </c>
      <c r="S98" s="172">
        <f>VLOOKUP(Mapping!$F98,_SSPC_90.1,6,FALSE)</f>
        <v>250</v>
      </c>
      <c r="T98" s="172">
        <f>VLOOKUP(Mapping!$F98,_SSPC_90.1,7,FALSE)</f>
        <v>200</v>
      </c>
      <c r="U98" s="26">
        <f>VLOOKUP(Mapping!$F98,_SSPC_90.1,4,FALSE)</f>
        <v>0.47</v>
      </c>
      <c r="V98" s="231">
        <f>VLOOKUP(Mapping!$I98,_ECB_CS,5,FALSE)</f>
        <v>0.15</v>
      </c>
      <c r="W98" s="135">
        <f>VLOOKUP(Mapping!$J98,_ACM05,6,FALSE)</f>
        <v>160</v>
      </c>
      <c r="X98" s="172">
        <f>VLOOKUP(Mapping!$I98,_ECB_CS,4,FALSE)</f>
        <v>0</v>
      </c>
      <c r="Y98" s="26">
        <f>VLOOKUP(Mapping!$H98,_CEUS,2,FALSE)</f>
        <v>1.1301369863013697</v>
      </c>
      <c r="Z98" s="26">
        <f>VLOOKUP(Mapping!$H98,_CEUS,3,FALSE)</f>
        <v>8.1050228310502279E-2</v>
      </c>
      <c r="AA98" s="32" t="s">
        <v>47</v>
      </c>
      <c r="AB98" s="177" t="s">
        <v>234</v>
      </c>
      <c r="AD98" s="194" t="str">
        <f t="shared" si="4"/>
        <v>E</v>
      </c>
      <c r="AE98" s="176" t="str">
        <f t="shared" si="5"/>
        <v>Fire station, clinic, hospital, police station, transportation</v>
      </c>
    </row>
    <row r="99" spans="1:31">
      <c r="A99" s="27" t="s">
        <v>328</v>
      </c>
      <c r="B99" s="26">
        <f>VLOOKUP(Mapping!$E99,_90_1_2001,2,FALSE)</f>
        <v>0.3</v>
      </c>
      <c r="C99" s="26">
        <f>VLOOKUP(Mapping!$D99,_90_1_2007,2,FALSE)</f>
        <v>0.3</v>
      </c>
      <c r="D99" s="26">
        <f>VLOOKUP(Mapping!$C99,_90_1_2010,2,FALSE)</f>
        <v>0.63</v>
      </c>
      <c r="E99" s="26">
        <f>VLOOKUP(Mapping!$C99,_90_1_2010,3,FALSE)</f>
        <v>6</v>
      </c>
      <c r="F99" s="26">
        <f>VLOOKUP(Mapping!$B99,_90_1_2016BM,2,FALSE)</f>
        <v>0.8</v>
      </c>
      <c r="G99" s="134">
        <v>1</v>
      </c>
      <c r="H99" s="169">
        <f>VLOOKUP(Mapping!$B99,_90_1_2016BM,3,FALSE)</f>
        <v>0.45</v>
      </c>
      <c r="I99" s="26">
        <f>VLOOKUP(Mapping!G99,_Plugs,13,FALSE)</f>
        <v>0.31394912262618863</v>
      </c>
      <c r="J99" s="231">
        <f>VLOOKUP(Mapping!$F99,_SSPC_90.1,3,FALSE)</f>
        <v>0.24</v>
      </c>
      <c r="K99" s="26">
        <f>VLOOKUP(Mapping!$G99,_Plugs,14,FALSE)</f>
        <v>2</v>
      </c>
      <c r="L99" s="26">
        <f>VLOOKUP(Mapping!$G99,_Plugs,15,FALSE)</f>
        <v>0.18587360594795541</v>
      </c>
      <c r="M99" s="26">
        <f>VLOOKUP(Mapping!$G99,_Plugs,16,FALSE)</f>
        <v>1</v>
      </c>
      <c r="N99" s="135">
        <v>7</v>
      </c>
      <c r="O99" s="235">
        <f>VLOOKUP(Mapping!$I99,_ECB_CS,2,FALSE)</f>
        <v>500</v>
      </c>
      <c r="P99" s="235">
        <f>VLOOKUP(Mapping!$J99,_ACM05,3,FALSE)</f>
        <v>275</v>
      </c>
      <c r="Q99" s="235">
        <f>VLOOKUP(Mapping!$J99,_ACM05,4,FALSE)</f>
        <v>475</v>
      </c>
      <c r="R99" s="172">
        <f>VLOOKUP(Mapping!$F99,_SSPC_90.1,5,FALSE)</f>
        <v>0</v>
      </c>
      <c r="S99" s="172">
        <f>VLOOKUP(Mapping!$F99,_SSPC_90.1,6,FALSE)</f>
        <v>275</v>
      </c>
      <c r="T99" s="172">
        <f>VLOOKUP(Mapping!$F99,_SSPC_90.1,7,FALSE)</f>
        <v>475</v>
      </c>
      <c r="U99" s="26">
        <f>VLOOKUP(Mapping!$F99,_SSPC_90.1,4,FALSE)</f>
        <v>0.06</v>
      </c>
      <c r="V99" s="231">
        <f>VLOOKUP(Mapping!$I99,_ECB_CS,5,FALSE)</f>
        <v>0.04</v>
      </c>
      <c r="W99" s="135">
        <f>VLOOKUP(Mapping!$J99,_ACM05,6,FALSE)</f>
        <v>120</v>
      </c>
      <c r="X99" s="172">
        <f>VLOOKUP(Mapping!$I99,_ECB_CS,4,FALSE)</f>
        <v>0</v>
      </c>
      <c r="Y99" s="26">
        <f>VLOOKUP(Mapping!$H99,_CEUS,2,FALSE)</f>
        <v>0</v>
      </c>
      <c r="Z99" s="26">
        <f>VLOOKUP(Mapping!$H99,_CEUS,3,FALSE)</f>
        <v>3.1963470319634701E-2</v>
      </c>
      <c r="AA99" s="32" t="s">
        <v>47</v>
      </c>
      <c r="AB99" s="177" t="s">
        <v>266</v>
      </c>
      <c r="AD99" s="194" t="str">
        <f t="shared" si="4"/>
        <v>ps</v>
      </c>
      <c r="AE99" s="176" t="str">
        <f t="shared" si="5"/>
        <v>Schedule is inherited</v>
      </c>
    </row>
    <row r="100" spans="1:31">
      <c r="A100" s="27" t="s">
        <v>329</v>
      </c>
      <c r="B100" s="26">
        <f>VLOOKUP(Mapping!$E100,_90_1_2001,2,FALSE)</f>
        <v>1.1000000000000001</v>
      </c>
      <c r="C100" s="26">
        <f>VLOOKUP(Mapping!$D100,_90_1_2007,2,FALSE)</f>
        <v>0.8</v>
      </c>
      <c r="D100" s="26">
        <f>VLOOKUP(Mapping!$C100,_90_1_2010,2,FALSE)</f>
        <v>0.63</v>
      </c>
      <c r="E100" s="26">
        <f>VLOOKUP(Mapping!$C100,_90_1_2010,3,FALSE)</f>
        <v>6</v>
      </c>
      <c r="F100" s="26">
        <f>VLOOKUP(Mapping!$B100,_90_1_2016BM,2,FALSE)</f>
        <v>0.8</v>
      </c>
      <c r="G100" s="134">
        <v>1</v>
      </c>
      <c r="H100" s="169">
        <f>VLOOKUP(Mapping!$B100,_90_1_2016BM,3,FALSE)</f>
        <v>0.45</v>
      </c>
      <c r="I100" s="26">
        <f>VLOOKUP(Mapping!G100,_Plugs,13,FALSE)</f>
        <v>0.31394912262618863</v>
      </c>
      <c r="J100" s="231">
        <f>VLOOKUP(Mapping!$F100,_SSPC_90.1,3,FALSE)</f>
        <v>0.24</v>
      </c>
      <c r="K100" s="26">
        <f>VLOOKUP(Mapping!$G100,_Plugs,14,FALSE)</f>
        <v>2</v>
      </c>
      <c r="L100" s="26">
        <f>VLOOKUP(Mapping!$G100,_Plugs,15,FALSE)</f>
        <v>0.18587360594795541</v>
      </c>
      <c r="M100" s="26">
        <f>VLOOKUP(Mapping!$G100,_Plugs,16,FALSE)</f>
        <v>1</v>
      </c>
      <c r="N100" s="135">
        <v>7</v>
      </c>
      <c r="O100" s="235">
        <f>VLOOKUP(Mapping!$I100,_ECB_CS,2,FALSE)</f>
        <v>1000</v>
      </c>
      <c r="P100" s="235">
        <f>VLOOKUP(Mapping!$J100,_ACM05,3,FALSE)</f>
        <v>275</v>
      </c>
      <c r="Q100" s="235">
        <f>VLOOKUP(Mapping!$J100,_ACM05,4,FALSE)</f>
        <v>475</v>
      </c>
      <c r="R100" s="172">
        <f>VLOOKUP(Mapping!$F100,_SSPC_90.1,5,FALSE)</f>
        <v>0</v>
      </c>
      <c r="S100" s="172">
        <f>VLOOKUP(Mapping!$F100,_SSPC_90.1,6,FALSE)</f>
        <v>275</v>
      </c>
      <c r="T100" s="172">
        <f>VLOOKUP(Mapping!$F100,_SSPC_90.1,7,FALSE)</f>
        <v>475</v>
      </c>
      <c r="U100" s="26">
        <f>VLOOKUP(Mapping!$F100,_SSPC_90.1,4,FALSE)</f>
        <v>0.06</v>
      </c>
      <c r="V100" s="231">
        <f>VLOOKUP(Mapping!$I100,_ECB_CS,5,FALSE)</f>
        <v>0.04</v>
      </c>
      <c r="W100" s="135">
        <f>VLOOKUP(Mapping!$J100,_ACM05,6,FALSE)</f>
        <v>120</v>
      </c>
      <c r="X100" s="172">
        <f>VLOOKUP(Mapping!$I100,_ECB_CS,4,FALSE)</f>
        <v>0</v>
      </c>
      <c r="Y100" s="26">
        <f>VLOOKUP(Mapping!$H100,_CEUS,2,FALSE)</f>
        <v>0</v>
      </c>
      <c r="Z100" s="26">
        <f>VLOOKUP(Mapping!$H100,_CEUS,3,FALSE)</f>
        <v>3.1963470319634701E-2</v>
      </c>
      <c r="AA100" s="32" t="s">
        <v>51</v>
      </c>
      <c r="AB100" s="177" t="s">
        <v>266</v>
      </c>
      <c r="AD100" s="194" t="str">
        <f t="shared" si="4"/>
        <v>ps</v>
      </c>
      <c r="AE100" s="176" t="str">
        <f t="shared" si="5"/>
        <v>Schedule is inherited</v>
      </c>
    </row>
    <row r="101" spans="1:31">
      <c r="A101" s="27" t="s">
        <v>330</v>
      </c>
      <c r="B101" s="26">
        <f>VLOOKUP(Mapping!$E101,_90_1_2001,2,FALSE)</f>
        <v>1.4</v>
      </c>
      <c r="C101" s="26">
        <f>VLOOKUP(Mapping!$D101,_90_1_2007,2,FALSE)</f>
        <v>0.7</v>
      </c>
      <c r="D101" s="26">
        <f>VLOOKUP(Mapping!$C101,_90_1_2010,2,FALSE)</f>
        <v>0.67</v>
      </c>
      <c r="E101" s="26">
        <f>VLOOKUP(Mapping!$C101,_90_1_2010,3,FALSE)</f>
        <v>4</v>
      </c>
      <c r="F101" s="26">
        <f>VLOOKUP(Mapping!$B101,_90_1_2016BM,2,FALSE)</f>
        <v>0.7</v>
      </c>
      <c r="G101" s="134">
        <v>1</v>
      </c>
      <c r="H101" s="169">
        <f>VLOOKUP(Mapping!$B101,_90_1_2016BM,3,FALSE)</f>
        <v>0.1</v>
      </c>
      <c r="I101" s="26">
        <f>VLOOKUP(Mapping!G101,_Plugs,13,FALSE)</f>
        <v>0.50325197968776458</v>
      </c>
      <c r="J101" s="231">
        <f>VLOOKUP(Mapping!$F101,_SSPC_90.1,3,FALSE)</f>
        <v>1</v>
      </c>
      <c r="K101" s="26">
        <f>VLOOKUP(Mapping!$G101,_Plugs,14,FALSE)</f>
        <v>2</v>
      </c>
      <c r="L101" s="26">
        <f>VLOOKUP(Mapping!$G101,_Plugs,15,FALSE)</f>
        <v>0.54832713754646845</v>
      </c>
      <c r="M101" s="26">
        <f>VLOOKUP(Mapping!$G101,_Plugs,16,FALSE)</f>
        <v>1</v>
      </c>
      <c r="N101" s="135">
        <v>7</v>
      </c>
      <c r="O101" s="235">
        <f>VLOOKUP(Mapping!$I101,_ECB_CS,2,FALSE)</f>
        <v>200</v>
      </c>
      <c r="P101" s="235">
        <f>VLOOKUP(Mapping!$J101,_ACM05,3,FALSE)</f>
        <v>275</v>
      </c>
      <c r="Q101" s="235">
        <f>VLOOKUP(Mapping!$J101,_ACM05,4,FALSE)</f>
        <v>475</v>
      </c>
      <c r="R101" s="172">
        <f>VLOOKUP(Mapping!$F101,_SSPC_90.1,5,FALSE)</f>
        <v>143</v>
      </c>
      <c r="S101" s="172">
        <f>VLOOKUP(Mapping!$F101,_SSPC_90.1,6,FALSE)</f>
        <v>375</v>
      </c>
      <c r="T101" s="172">
        <f>VLOOKUP(Mapping!$F101,_SSPC_90.1,7,FALSE)</f>
        <v>625</v>
      </c>
      <c r="U101" s="26">
        <f>VLOOKUP(Mapping!$F101,_SSPC_90.1,4,FALSE)</f>
        <v>0.25</v>
      </c>
      <c r="V101" s="231">
        <f>VLOOKUP(Mapping!$I101,_ECB_CS,5,FALSE)</f>
        <v>1.5</v>
      </c>
      <c r="W101" s="135">
        <f>VLOOKUP(Mapping!$J101,_ACM05,6,FALSE)</f>
        <v>120</v>
      </c>
      <c r="X101" s="172">
        <f>VLOOKUP(Mapping!$I101,_ECB_CS,4,FALSE)</f>
        <v>300</v>
      </c>
      <c r="Y101" s="26">
        <f>VLOOKUP(Mapping!$H101,_CEUS,2,FALSE)</f>
        <v>0.75342465753424659</v>
      </c>
      <c r="Z101" s="26">
        <f>VLOOKUP(Mapping!$H101,_CEUS,3,FALSE)</f>
        <v>9.8173515981735154E-2</v>
      </c>
      <c r="AA101" s="32" t="s">
        <v>51</v>
      </c>
      <c r="AB101" s="177" t="s">
        <v>221</v>
      </c>
      <c r="AD101" s="194" t="str">
        <f t="shared" si="4"/>
        <v>J</v>
      </c>
      <c r="AE101" s="176" t="str">
        <f t="shared" si="5"/>
        <v>Automotive facility, workshop, manufacturing facility</v>
      </c>
    </row>
    <row r="102" spans="1:31" s="25" customFormat="1" ht="13.5" thickBot="1">
      <c r="A102" s="212" t="s">
        <v>331</v>
      </c>
      <c r="B102" s="213">
        <f>VLOOKUP(Mapping!$E102,_90_1_2001,2,FALSE)</f>
        <v>2.5</v>
      </c>
      <c r="C102" s="213">
        <f>VLOOKUP(Mapping!$D102,_90_1_2007,2,FALSE)</f>
        <v>1.9</v>
      </c>
      <c r="D102" s="213">
        <f>VLOOKUP(Mapping!$C102,_90_1_2010,2,FALSE)</f>
        <v>1.59</v>
      </c>
      <c r="E102" s="213">
        <f>VLOOKUP(Mapping!$C102,_90_1_2010,3,FALSE)</f>
        <v>6</v>
      </c>
      <c r="F102" s="213">
        <f>VLOOKUP(Mapping!$B102,_90_1_2016BM,2,FALSE)</f>
        <v>1.9</v>
      </c>
      <c r="G102" s="214">
        <v>1</v>
      </c>
      <c r="H102" s="215">
        <f>VLOOKUP(Mapping!$B102,_90_1_2016BM,3,FALSE)</f>
        <v>0.1</v>
      </c>
      <c r="I102" s="213">
        <f>VLOOKUP(Mapping!G102,_Plugs,13,FALSE)</f>
        <v>0.42833678057910263</v>
      </c>
      <c r="J102" s="232">
        <f>VLOOKUP(Mapping!$F102,_SSPC_90.1,3,FALSE)</f>
        <v>1</v>
      </c>
      <c r="K102" s="213">
        <f>VLOOKUP(Mapping!$G102,_Plugs,14,FALSE)</f>
        <v>2</v>
      </c>
      <c r="L102" s="213">
        <f>VLOOKUP(Mapping!$G102,_Plugs,15,FALSE)</f>
        <v>0.54832713754646845</v>
      </c>
      <c r="M102" s="213">
        <f>VLOOKUP(Mapping!$G102,_Plugs,16,FALSE)</f>
        <v>1</v>
      </c>
      <c r="N102" s="216">
        <v>7</v>
      </c>
      <c r="O102" s="236">
        <f>VLOOKUP(Mapping!$I102,_ECB_CS,2,FALSE)</f>
        <v>300</v>
      </c>
      <c r="P102" s="236">
        <f>VLOOKUP(Mapping!$J102,_ACM05,3,FALSE)</f>
        <v>250</v>
      </c>
      <c r="Q102" s="236">
        <f>VLOOKUP(Mapping!$J102,_ACM05,4,FALSE)</f>
        <v>200</v>
      </c>
      <c r="R102" s="217">
        <f>VLOOKUP(Mapping!$F102,_SSPC_90.1,5,FALSE)</f>
        <v>143</v>
      </c>
      <c r="S102" s="217">
        <f>VLOOKUP(Mapping!$F102,_SSPC_90.1,6,FALSE)</f>
        <v>635</v>
      </c>
      <c r="T102" s="217">
        <f>VLOOKUP(Mapping!$F102,_SSPC_90.1,7,FALSE)</f>
        <v>965</v>
      </c>
      <c r="U102" s="213">
        <f>VLOOKUP(Mapping!$F102,_SSPC_90.1,4,FALSE)</f>
        <v>0.25</v>
      </c>
      <c r="V102" s="232">
        <f>VLOOKUP(Mapping!$I102,_ECB_CS,5,FALSE)</f>
        <v>0.5</v>
      </c>
      <c r="W102" s="216">
        <f>VLOOKUP(Mapping!$J102,_ACM05,6,FALSE)</f>
        <v>120</v>
      </c>
      <c r="X102" s="217">
        <f>VLOOKUP(Mapping!$I102,_ECB_CS,4,FALSE)</f>
        <v>175</v>
      </c>
      <c r="Y102" s="213">
        <f>VLOOKUP(Mapping!$H102,_CEUS,2,FALSE)</f>
        <v>0.75342465753424659</v>
      </c>
      <c r="Z102" s="213">
        <f>VLOOKUP(Mapping!$H102,_CEUS,3,FALSE)</f>
        <v>9.8173515981735154E-2</v>
      </c>
      <c r="AA102" s="218" t="s">
        <v>51</v>
      </c>
      <c r="AB102" s="219" t="s">
        <v>221</v>
      </c>
      <c r="AC102" s="220"/>
      <c r="AD102" s="221" t="str">
        <f t="shared" si="4"/>
        <v>J</v>
      </c>
      <c r="AE102" s="220" t="str">
        <f t="shared" si="5"/>
        <v>Automotive facility, workshop, manufacturing facility</v>
      </c>
    </row>
    <row r="103" spans="1:31">
      <c r="A103" t="s">
        <v>332</v>
      </c>
      <c r="B103" s="26">
        <f>VLOOKUP(Mapping!$E103,_90_1_2001,2,FALSE)</f>
        <v>2.2000000000000002</v>
      </c>
      <c r="C103" s="26">
        <f>VLOOKUP(Mapping!$D103,_90_1_2007,2,FALSE)</f>
        <v>1.3</v>
      </c>
      <c r="D103" s="26">
        <f>VLOOKUP(Mapping!$C103,_90_1_2010,2,FALSE)</f>
        <v>1.05</v>
      </c>
      <c r="E103" s="26" t="str">
        <f>VLOOKUP(Mapping!$C103,_90_1_2010,3,FALSE)</f>
        <v>n.a.</v>
      </c>
      <c r="F103" s="26">
        <f>VLOOKUP(Mapping!$B103,_90_1_2016BM,2,FALSE)</f>
        <v>2.77</v>
      </c>
      <c r="G103" s="134">
        <v>1</v>
      </c>
      <c r="H103" s="169">
        <f>VLOOKUP(Mapping!$B103,_90_1_2016BM,3,FALSE)</f>
        <v>0.1</v>
      </c>
      <c r="I103" s="26">
        <f>VLOOKUP(Mapping!G103,_Plugs,13,FALSE)</f>
        <v>1.4046493036603716</v>
      </c>
      <c r="J103" s="231">
        <f>VLOOKUP(Mapping!$F103,_SSPC_90.1,3,FALSE)</f>
        <v>1.1100000000000001</v>
      </c>
      <c r="K103" s="26">
        <f>VLOOKUP(Mapping!$G103,_Plugs,14,FALSE)</f>
        <v>2</v>
      </c>
      <c r="L103" s="26">
        <f>VLOOKUP(Mapping!$G103,_Plugs,15,FALSE)</f>
        <v>1.1152416356877324</v>
      </c>
      <c r="M103" s="26">
        <f>VLOOKUP(Mapping!$G103,_Plugs,16,FALSE)</f>
        <v>1</v>
      </c>
      <c r="N103" s="135">
        <v>7</v>
      </c>
      <c r="O103" s="235">
        <f>VLOOKUP(Mapping!$I103,_ECB_CS,2,FALSE)</f>
        <v>100</v>
      </c>
      <c r="P103" s="235">
        <f>VLOOKUP(Mapping!$J103,_ACM05,3,FALSE)</f>
        <v>250</v>
      </c>
      <c r="Q103" s="235">
        <f>VLOOKUP(Mapping!$J103,_ACM05,4,FALSE)</f>
        <v>250</v>
      </c>
      <c r="R103" s="172">
        <f>VLOOKUP(Mapping!$F103,_SSPC_90.1,5,FALSE)</f>
        <v>250</v>
      </c>
      <c r="S103" s="172">
        <f>VLOOKUP(Mapping!$F103,_SSPC_90.1,6,FALSE)</f>
        <v>250</v>
      </c>
      <c r="T103" s="172">
        <f>VLOOKUP(Mapping!$F103,_SSPC_90.1,7,FALSE)</f>
        <v>200</v>
      </c>
      <c r="U103" s="26">
        <f>VLOOKUP(Mapping!$F103,_SSPC_90.1,4,FALSE)</f>
        <v>0.08</v>
      </c>
      <c r="V103" s="231">
        <f>VLOOKUP(Mapping!$I103,_ECB_CS,5,FALSE)</f>
        <v>0.15</v>
      </c>
      <c r="W103" s="135">
        <f>VLOOKUP(Mapping!$J103,_ACM05,6,FALSE)</f>
        <v>120</v>
      </c>
      <c r="X103" s="172">
        <f>VLOOKUP(Mapping!$I103,_ECB_CS,4,FALSE)</f>
        <v>200</v>
      </c>
      <c r="Y103" s="26">
        <f>VLOOKUP(Mapping!$H103,_CEUS,2,FALSE)</f>
        <v>0.69634703196347048</v>
      </c>
      <c r="Z103" s="26">
        <f>VLOOKUP(Mapping!$H103,_CEUS,3,FALSE)</f>
        <v>0.10273972602739725</v>
      </c>
      <c r="AA103" s="32" t="s">
        <v>51</v>
      </c>
      <c r="AB103" s="177" t="s">
        <v>231</v>
      </c>
      <c r="AD103" s="194" t="str">
        <f t="shared" ref="AD103:AD134" si="6">VLOOKUP(AB103,SchedulesLookup,2,FALSE)</f>
        <v>F</v>
      </c>
      <c r="AE103" s="176" t="str">
        <f t="shared" ref="AE103:AE134" si="7">VLOOKUP(AB103,SchedulesLookup,3,FALSE)</f>
        <v>Dormatory, multifamily</v>
      </c>
    </row>
    <row r="104" spans="1:31">
      <c r="A104" t="s">
        <v>333</v>
      </c>
      <c r="B104" s="26">
        <f>VLOOKUP(Mapping!$E104,_90_1_2001,2,FALSE)</f>
        <v>1.4</v>
      </c>
      <c r="C104" s="26">
        <f>VLOOKUP(Mapping!$D104,_90_1_2007,2,FALSE)</f>
        <v>1.2</v>
      </c>
      <c r="D104" s="26">
        <f>VLOOKUP(Mapping!$C104,_90_1_2010,2,FALSE)</f>
        <v>0.73</v>
      </c>
      <c r="E104" s="26">
        <f>VLOOKUP(Mapping!$C104,_90_1_2010,3,FALSE)</f>
        <v>4</v>
      </c>
      <c r="F104" s="26">
        <f>VLOOKUP(Mapping!$B104,_90_1_2016BM,2,FALSE)</f>
        <v>3.02</v>
      </c>
      <c r="G104" s="134">
        <v>1</v>
      </c>
      <c r="H104" s="169">
        <f>VLOOKUP(Mapping!$B104,_90_1_2016BM,3,FALSE)</f>
        <v>0.1</v>
      </c>
      <c r="I104" s="26">
        <f>VLOOKUP(Mapping!G104,_Plugs,13,FALSE)</f>
        <v>1.4046493036603716</v>
      </c>
      <c r="J104" s="231">
        <f>VLOOKUP(Mapping!$F104,_SSPC_90.1,3,FALSE)</f>
        <v>1.1100000000000001</v>
      </c>
      <c r="K104" s="26">
        <f>VLOOKUP(Mapping!$G104,_Plugs,14,FALSE)</f>
        <v>2</v>
      </c>
      <c r="L104" s="26">
        <f>VLOOKUP(Mapping!$G104,_Plugs,15,FALSE)</f>
        <v>1.1152416356877324</v>
      </c>
      <c r="M104" s="26">
        <f>VLOOKUP(Mapping!$G104,_Plugs,16,FALSE)</f>
        <v>1</v>
      </c>
      <c r="N104" s="135">
        <v>7</v>
      </c>
      <c r="O104" s="235">
        <f>VLOOKUP(Mapping!$I104,_ECB_CS,2,FALSE)</f>
        <v>100</v>
      </c>
      <c r="P104" s="235">
        <f>VLOOKUP(Mapping!$J104,_ACM05,3,FALSE)</f>
        <v>275</v>
      </c>
      <c r="Q104" s="235">
        <f>VLOOKUP(Mapping!$J104,_ACM05,4,FALSE)</f>
        <v>275</v>
      </c>
      <c r="R104" s="172">
        <f>VLOOKUP(Mapping!$F104,_SSPC_90.1,5,FALSE)</f>
        <v>250</v>
      </c>
      <c r="S104" s="172">
        <f>VLOOKUP(Mapping!$F104,_SSPC_90.1,6,FALSE)</f>
        <v>250</v>
      </c>
      <c r="T104" s="172">
        <f>VLOOKUP(Mapping!$F104,_SSPC_90.1,7,FALSE)</f>
        <v>200</v>
      </c>
      <c r="U104" s="26">
        <f>VLOOKUP(Mapping!$F104,_SSPC_90.1,4,FALSE)</f>
        <v>0.08</v>
      </c>
      <c r="V104" s="231">
        <f>VLOOKUP(Mapping!$I104,_ECB_CS,5,FALSE)</f>
        <v>0.2</v>
      </c>
      <c r="W104" s="135">
        <f>VLOOKUP(Mapping!$J104,_ACM05,6,FALSE)</f>
        <v>60</v>
      </c>
      <c r="X104" s="172">
        <f>VLOOKUP(Mapping!$I104,_ECB_CS,4,FALSE)</f>
        <v>300</v>
      </c>
      <c r="Y104" s="26">
        <f>VLOOKUP(Mapping!$H104,_CEUS,2,FALSE)</f>
        <v>0.69634703196347048</v>
      </c>
      <c r="Z104" s="26">
        <f>VLOOKUP(Mapping!$H104,_CEUS,3,FALSE)</f>
        <v>0.10273972602739725</v>
      </c>
      <c r="AA104" s="32" t="s">
        <v>51</v>
      </c>
      <c r="AB104" s="177" t="s">
        <v>231</v>
      </c>
      <c r="AD104" s="194" t="str">
        <f t="shared" si="6"/>
        <v>F</v>
      </c>
      <c r="AE104" s="176" t="str">
        <f t="shared" si="7"/>
        <v>Dormatory, multifamily</v>
      </c>
    </row>
    <row r="105" spans="1:31">
      <c r="A105" t="s">
        <v>334</v>
      </c>
      <c r="B105" s="26">
        <f>VLOOKUP(Mapping!$E105,_90_1_2001,2,FALSE)</f>
        <v>3.3</v>
      </c>
      <c r="C105" s="26">
        <f>VLOOKUP(Mapping!$D105,_90_1_2007,2,FALSE)</f>
        <v>1.3</v>
      </c>
      <c r="D105" s="26">
        <f>VLOOKUP(Mapping!$C105,_90_1_2010,2,FALSE)</f>
        <v>1.45</v>
      </c>
      <c r="E105" s="26">
        <f>VLOOKUP(Mapping!$C105,_90_1_2010,3,FALSE)</f>
        <v>4</v>
      </c>
      <c r="F105" s="26">
        <f>VLOOKUP(Mapping!$B105,_90_1_2016BM,2,FALSE)</f>
        <v>1.3</v>
      </c>
      <c r="G105" s="134">
        <v>1</v>
      </c>
      <c r="H105" s="169">
        <f>VLOOKUP(Mapping!$B105,_90_1_2016BM,3,FALSE)</f>
        <v>0.35</v>
      </c>
      <c r="I105" s="26">
        <f>VLOOKUP(Mapping!G105,_Plugs,13,FALSE)</f>
        <v>0.74760799257268662</v>
      </c>
      <c r="J105" s="231">
        <f>VLOOKUP(Mapping!$F105,_SSPC_90.1,3,FALSE)</f>
        <v>0.25</v>
      </c>
      <c r="K105" s="26">
        <f>VLOOKUP(Mapping!$G105,_Plugs,14,FALSE)</f>
        <v>2</v>
      </c>
      <c r="L105" s="26">
        <f>VLOOKUP(Mapping!$G105,_Plugs,15,FALSE)</f>
        <v>0.54832713754646845</v>
      </c>
      <c r="M105" s="26">
        <f>VLOOKUP(Mapping!$G105,_Plugs,16,FALSE)</f>
        <v>1</v>
      </c>
      <c r="N105" s="135">
        <v>7</v>
      </c>
      <c r="O105" s="235">
        <f>VLOOKUP(Mapping!$I105,_ECB_CS,2,FALSE)</f>
        <v>50</v>
      </c>
      <c r="P105" s="235">
        <f>VLOOKUP(Mapping!$J105,_ACM05,3,FALSE)</f>
        <v>245</v>
      </c>
      <c r="Q105" s="235">
        <f>VLOOKUP(Mapping!$J105,_ACM05,4,FALSE)</f>
        <v>155</v>
      </c>
      <c r="R105" s="172">
        <f>VLOOKUP(Mapping!$F105,_SSPC_90.1,5,FALSE)</f>
        <v>20</v>
      </c>
      <c r="S105" s="172">
        <f>VLOOKUP(Mapping!$F105,_SSPC_90.1,6,FALSE)</f>
        <v>250</v>
      </c>
      <c r="T105" s="172">
        <f>VLOOKUP(Mapping!$F105,_SSPC_90.1,7,FALSE)</f>
        <v>200</v>
      </c>
      <c r="U105" s="26">
        <f>VLOOKUP(Mapping!$F105,_SSPC_90.1,4,FALSE)</f>
        <v>0.31</v>
      </c>
      <c r="V105" s="231">
        <f>VLOOKUP(Mapping!$I105,_ECB_CS,5,FALSE)</f>
        <v>0.3</v>
      </c>
      <c r="W105" s="135">
        <f>VLOOKUP(Mapping!$J105,_ACM05,6,FALSE)</f>
        <v>60</v>
      </c>
      <c r="X105" s="172">
        <f>VLOOKUP(Mapping!$I105,_ECB_CS,4,FALSE)</f>
        <v>100</v>
      </c>
      <c r="Y105" s="26">
        <f>VLOOKUP(Mapping!$H105,_CEUS,2,FALSE)</f>
        <v>2.2831050228310501E-2</v>
      </c>
      <c r="Z105" s="26">
        <f>VLOOKUP(Mapping!$H105,_CEUS,3,FALSE)</f>
        <v>6.6210045662100453E-2</v>
      </c>
      <c r="AA105" s="32" t="s">
        <v>51</v>
      </c>
      <c r="AB105" s="177" t="s">
        <v>223</v>
      </c>
      <c r="AD105" s="194" t="str">
        <f t="shared" si="6"/>
        <v>H</v>
      </c>
      <c r="AE105" s="176" t="str">
        <f t="shared" si="7"/>
        <v>Convention center, exercise center, motion picture theature, performing arts theater, religious building, sports arena</v>
      </c>
    </row>
    <row r="106" spans="1:31">
      <c r="A106" t="s">
        <v>335</v>
      </c>
      <c r="B106" s="26">
        <f>VLOOKUP(Mapping!$E106,_90_1_2001,2,FALSE)</f>
        <v>1.9</v>
      </c>
      <c r="C106" s="26">
        <f>VLOOKUP(Mapping!$D106,_90_1_2007,2,FALSE)</f>
        <v>1.1000000000000001</v>
      </c>
      <c r="D106" s="26">
        <f>VLOOKUP(Mapping!$C106,_90_1_2010,2,FALSE)</f>
        <v>0.38</v>
      </c>
      <c r="E106" s="26">
        <f>VLOOKUP(Mapping!$C106,_90_1_2010,3,FALSE)</f>
        <v>8</v>
      </c>
      <c r="F106" s="26">
        <f>VLOOKUP(Mapping!$B106,_90_1_2016BM,2,FALSE)</f>
        <v>1.1100000000000001</v>
      </c>
      <c r="G106" s="134">
        <v>1</v>
      </c>
      <c r="H106" s="169">
        <f>VLOOKUP(Mapping!$B106,_90_1_2016BM,3,FALSE)</f>
        <v>0.1</v>
      </c>
      <c r="I106" s="26">
        <f>VLOOKUP(Mapping!G106,_Plugs,13,FALSE)</f>
        <v>1.9561272315249876</v>
      </c>
      <c r="J106" s="231">
        <f>VLOOKUP(Mapping!$F106,_SSPC_90.1,3,FALSE)</f>
        <v>1.1100000000000001</v>
      </c>
      <c r="K106" s="26">
        <f>VLOOKUP(Mapping!$G106,_Plugs,14,FALSE)</f>
        <v>2</v>
      </c>
      <c r="L106" s="26">
        <f>VLOOKUP(Mapping!$G106,_Plugs,15,FALSE)</f>
        <v>0.29739776951672864</v>
      </c>
      <c r="M106" s="26">
        <f>VLOOKUP(Mapping!$G106,_Plugs,16,FALSE)</f>
        <v>1</v>
      </c>
      <c r="N106" s="135">
        <v>7</v>
      </c>
      <c r="O106" s="235">
        <f>VLOOKUP(Mapping!$I106,_ECB_CS,2,FALSE)</f>
        <v>250</v>
      </c>
      <c r="P106" s="235">
        <f>VLOOKUP(Mapping!$J106,_ACM05,3,FALSE)</f>
        <v>250</v>
      </c>
      <c r="Q106" s="235">
        <f>VLOOKUP(Mapping!$J106,_ACM05,4,FALSE)</f>
        <v>250</v>
      </c>
      <c r="R106" s="172">
        <f>VLOOKUP(Mapping!$F106,_SSPC_90.1,5,FALSE)</f>
        <v>250</v>
      </c>
      <c r="S106" s="172">
        <f>VLOOKUP(Mapping!$F106,_SSPC_90.1,6,FALSE)</f>
        <v>250</v>
      </c>
      <c r="T106" s="172">
        <f>VLOOKUP(Mapping!$F106,_SSPC_90.1,7,FALSE)</f>
        <v>200</v>
      </c>
      <c r="U106" s="26">
        <f>VLOOKUP(Mapping!$F106,_SSPC_90.1,4,FALSE)</f>
        <v>0.08</v>
      </c>
      <c r="V106" s="231">
        <f>VLOOKUP(Mapping!$I106,_ECB_CS,5,FALSE)</f>
        <v>0.06</v>
      </c>
      <c r="W106" s="135">
        <f>VLOOKUP(Mapping!$J106,_ACM05,6,FALSE)</f>
        <v>120</v>
      </c>
      <c r="X106" s="172">
        <f>VLOOKUP(Mapping!$I106,_ECB_CS,4,FALSE)</f>
        <v>1700</v>
      </c>
      <c r="Y106" s="26">
        <f>VLOOKUP(Mapping!$H106,_CEUS,2,FALSE)</f>
        <v>0.69634703196347048</v>
      </c>
      <c r="Z106" s="26">
        <f>VLOOKUP(Mapping!$H106,_CEUS,3,FALSE)</f>
        <v>0.10273972602739725</v>
      </c>
      <c r="AA106" s="32" t="s">
        <v>51</v>
      </c>
      <c r="AB106" s="177" t="s">
        <v>231</v>
      </c>
      <c r="AD106" s="194" t="str">
        <f t="shared" si="6"/>
        <v>F</v>
      </c>
      <c r="AE106" s="176" t="str">
        <f t="shared" si="7"/>
        <v>Dormatory, multifamily</v>
      </c>
    </row>
    <row r="107" spans="1:31">
      <c r="A107" t="s">
        <v>336</v>
      </c>
      <c r="B107" s="26">
        <f>VLOOKUP(Mapping!$E107,_90_1_2001,2,FALSE)</f>
        <v>1.1000000000000001</v>
      </c>
      <c r="C107" s="26">
        <f>VLOOKUP(Mapping!$D107,_90_1_2007,2,FALSE)</f>
        <v>0.3</v>
      </c>
      <c r="D107" s="26">
        <f>VLOOKUP(Mapping!$C107,_90_1_2010,2,FALSE)</f>
        <v>0.25</v>
      </c>
      <c r="E107" s="26">
        <f>VLOOKUP(Mapping!$C107,_90_1_2010,3,FALSE)</f>
        <v>6</v>
      </c>
      <c r="F107" s="26">
        <f>VLOOKUP(Mapping!$B107,_90_1_2016BM,2,FALSE)</f>
        <v>0.3</v>
      </c>
      <c r="G107" s="134">
        <v>1</v>
      </c>
      <c r="H107" s="169">
        <f>VLOOKUP(Mapping!$B107,_90_1_2016BM,3,FALSE)</f>
        <v>0.1</v>
      </c>
      <c r="I107" s="26">
        <f>VLOOKUP(Mapping!G107,_Plugs,13,FALSE)</f>
        <v>1.5403580152290588</v>
      </c>
      <c r="J107" s="231">
        <f>VLOOKUP(Mapping!$F107,_SSPC_90.1,3,FALSE)</f>
        <v>1.5</v>
      </c>
      <c r="K107" s="26">
        <f>VLOOKUP(Mapping!$G107,_Plugs,14,FALSE)</f>
        <v>2</v>
      </c>
      <c r="L107" s="26">
        <f>VLOOKUP(Mapping!$G107,_Plugs,15,FALSE)</f>
        <v>1.1152416356877324</v>
      </c>
      <c r="M107" s="26">
        <f>VLOOKUP(Mapping!$G107,_Plugs,16,FALSE)</f>
        <v>1</v>
      </c>
      <c r="N107" s="135">
        <v>7</v>
      </c>
      <c r="O107" s="235">
        <f>VLOOKUP(Mapping!$I107,_ECB_CS,2,FALSE)</f>
        <v>250</v>
      </c>
      <c r="P107" s="235">
        <f>VLOOKUP(Mapping!$J107,_ACM05,3,FALSE)</f>
        <v>250</v>
      </c>
      <c r="Q107" s="235">
        <f>VLOOKUP(Mapping!$J107,_ACM05,4,FALSE)</f>
        <v>250</v>
      </c>
      <c r="R107" s="172">
        <f>VLOOKUP(Mapping!$F107,_SSPC_90.1,5,FALSE)</f>
        <v>33</v>
      </c>
      <c r="S107" s="172">
        <f>VLOOKUP(Mapping!$F107,_SSPC_90.1,6,FALSE)</f>
        <v>250</v>
      </c>
      <c r="T107" s="172">
        <f>VLOOKUP(Mapping!$F107,_SSPC_90.1,7,FALSE)</f>
        <v>200</v>
      </c>
      <c r="U107" s="26">
        <f>VLOOKUP(Mapping!$F107,_SSPC_90.1,4,FALSE)</f>
        <v>0.21</v>
      </c>
      <c r="V107" s="231">
        <f>VLOOKUP(Mapping!$I107,_ECB_CS,5,FALSE)</f>
        <v>0.06</v>
      </c>
      <c r="W107" s="135">
        <f>VLOOKUP(Mapping!$J107,_ACM05,6,FALSE)</f>
        <v>120</v>
      </c>
      <c r="X107" s="172">
        <f>VLOOKUP(Mapping!$I107,_ECB_CS,4,FALSE)</f>
        <v>1700</v>
      </c>
      <c r="Y107" s="26">
        <f>VLOOKUP(Mapping!$H107,_CEUS,2,FALSE)</f>
        <v>0.69634703196347048</v>
      </c>
      <c r="Z107" s="26">
        <f>VLOOKUP(Mapping!$H107,_CEUS,3,FALSE)</f>
        <v>0.10273972602739725</v>
      </c>
      <c r="AA107" s="32" t="s">
        <v>51</v>
      </c>
      <c r="AB107" s="177" t="s">
        <v>231</v>
      </c>
      <c r="AD107" s="194" t="str">
        <f t="shared" si="6"/>
        <v>F</v>
      </c>
      <c r="AE107" s="176" t="str">
        <f t="shared" si="7"/>
        <v>Dormatory, multifamily</v>
      </c>
    </row>
    <row r="108" spans="1:31">
      <c r="A108" t="s">
        <v>337</v>
      </c>
      <c r="B108" s="26">
        <f>VLOOKUP(Mapping!$E108,_90_1_2001,2,FALSE)</f>
        <v>1.1000000000000001</v>
      </c>
      <c r="C108" s="26">
        <f>VLOOKUP(Mapping!$D108,_90_1_2007,2,FALSE)</f>
        <v>0.9</v>
      </c>
      <c r="D108" s="26">
        <f>VLOOKUP(Mapping!$C108,_90_1_2010,2,FALSE)</f>
        <v>0.72</v>
      </c>
      <c r="E108" s="26">
        <f>VLOOKUP(Mapping!$C108,_90_1_2010,3,FALSE)</f>
        <v>4</v>
      </c>
      <c r="F108" s="26">
        <f>VLOOKUP(Mapping!$B108,_90_1_2016BM,2,FALSE)</f>
        <v>0.9</v>
      </c>
      <c r="G108" s="134">
        <v>1</v>
      </c>
      <c r="H108" s="169">
        <f>VLOOKUP(Mapping!$B108,_90_1_2016BM,3,FALSE)</f>
        <v>0.35</v>
      </c>
      <c r="I108" s="26">
        <f>VLOOKUP(Mapping!G108,_Plugs,13,FALSE)</f>
        <v>0.67424666522690402</v>
      </c>
      <c r="J108" s="231">
        <f>VLOOKUP(Mapping!$F108,_SSPC_90.1,3,FALSE)</f>
        <v>0.5</v>
      </c>
      <c r="K108" s="26">
        <f>VLOOKUP(Mapping!$G108,_Plugs,14,FALSE)</f>
        <v>2</v>
      </c>
      <c r="L108" s="26">
        <f>VLOOKUP(Mapping!$G108,_Plugs,15,FALSE)</f>
        <v>0.54832713754646845</v>
      </c>
      <c r="M108" s="26">
        <f>VLOOKUP(Mapping!$G108,_Plugs,16,FALSE)</f>
        <v>1</v>
      </c>
      <c r="N108" s="135">
        <v>7</v>
      </c>
      <c r="O108" s="235">
        <f>VLOOKUP(Mapping!$I108,_ECB_CS,2,FALSE)</f>
        <v>50</v>
      </c>
      <c r="P108" s="235">
        <f>VLOOKUP(Mapping!$J108,_ACM05,3,FALSE)</f>
        <v>255</v>
      </c>
      <c r="Q108" s="235">
        <f>VLOOKUP(Mapping!$J108,_ACM05,4,FALSE)</f>
        <v>875</v>
      </c>
      <c r="R108" s="172">
        <f>VLOOKUP(Mapping!$F108,_SSPC_90.1,5,FALSE)</f>
        <v>100</v>
      </c>
      <c r="S108" s="172">
        <f>VLOOKUP(Mapping!$F108,_SSPC_90.1,6,FALSE)</f>
        <v>710</v>
      </c>
      <c r="T108" s="172">
        <f>VLOOKUP(Mapping!$F108,_SSPC_90.1,7,FALSE)</f>
        <v>1090</v>
      </c>
      <c r="U108" s="26">
        <f>VLOOKUP(Mapping!$F108,_SSPC_90.1,4,FALSE)</f>
        <v>0.26</v>
      </c>
      <c r="V108" s="231">
        <f>VLOOKUP(Mapping!$I108,_ECB_CS,5,FALSE)</f>
        <v>0.4</v>
      </c>
      <c r="W108" s="135">
        <f>VLOOKUP(Mapping!$J108,_ACM05,6,FALSE)</f>
        <v>120</v>
      </c>
      <c r="X108" s="172">
        <f>VLOOKUP(Mapping!$I108,_ECB_CS,4,FALSE)</f>
        <v>300</v>
      </c>
      <c r="Y108" s="26">
        <f>VLOOKUP(Mapping!$H108,_CEUS,2,FALSE)</f>
        <v>2.2831050228310501E-2</v>
      </c>
      <c r="Z108" s="26">
        <f>VLOOKUP(Mapping!$H108,_CEUS,3,FALSE)</f>
        <v>6.6210045662100453E-2</v>
      </c>
      <c r="AA108" s="32" t="s">
        <v>51</v>
      </c>
      <c r="AB108" s="177" t="s">
        <v>223</v>
      </c>
      <c r="AD108" s="194" t="str">
        <f t="shared" si="6"/>
        <v>H</v>
      </c>
      <c r="AE108" s="176" t="str">
        <f t="shared" si="7"/>
        <v>Convention center, exercise center, motion picture theature, performing arts theater, religious building, sports arena</v>
      </c>
    </row>
    <row r="109" spans="1:31">
      <c r="A109" t="s">
        <v>338</v>
      </c>
      <c r="B109" s="26">
        <f>VLOOKUP(Mapping!$E109,_90_1_2001,2,FALSE)</f>
        <v>1.9</v>
      </c>
      <c r="C109" s="26">
        <f>VLOOKUP(Mapping!$D109,_90_1_2007,2,FALSE)</f>
        <v>1.4</v>
      </c>
      <c r="D109" s="26">
        <f>VLOOKUP(Mapping!$C109,_90_1_2010,2,FALSE)</f>
        <v>1.2</v>
      </c>
      <c r="E109" s="26">
        <f>VLOOKUP(Mapping!$C109,_90_1_2010,3,FALSE)</f>
        <v>4</v>
      </c>
      <c r="F109" s="26">
        <f>VLOOKUP(Mapping!$B109,_90_1_2016BM,2,FALSE)</f>
        <v>1.4</v>
      </c>
      <c r="G109" s="134">
        <v>1</v>
      </c>
      <c r="H109" s="169">
        <f>VLOOKUP(Mapping!$B109,_90_1_2016BM,3,FALSE)</f>
        <v>0.35</v>
      </c>
      <c r="I109" s="26">
        <f>VLOOKUP(Mapping!G109,_Plugs,13,FALSE)</f>
        <v>0.67424666522690402</v>
      </c>
      <c r="J109" s="231">
        <f>VLOOKUP(Mapping!$F109,_SSPC_90.1,3,FALSE)</f>
        <v>0.5</v>
      </c>
      <c r="K109" s="26">
        <f>VLOOKUP(Mapping!$G109,_Plugs,14,FALSE)</f>
        <v>2</v>
      </c>
      <c r="L109" s="26">
        <f>VLOOKUP(Mapping!$G109,_Plugs,15,FALSE)</f>
        <v>0.54832713754646845</v>
      </c>
      <c r="M109" s="26">
        <f>VLOOKUP(Mapping!$G109,_Plugs,16,FALSE)</f>
        <v>1</v>
      </c>
      <c r="N109" s="135">
        <v>7</v>
      </c>
      <c r="O109" s="235">
        <f>VLOOKUP(Mapping!$I109,_ECB_CS,2,FALSE)</f>
        <v>50</v>
      </c>
      <c r="P109" s="235">
        <f>VLOOKUP(Mapping!$J109,_ACM05,3,FALSE)</f>
        <v>255</v>
      </c>
      <c r="Q109" s="235">
        <f>VLOOKUP(Mapping!$J109,_ACM05,4,FALSE)</f>
        <v>875</v>
      </c>
      <c r="R109" s="172">
        <f>VLOOKUP(Mapping!$F109,_SSPC_90.1,5,FALSE)</f>
        <v>100</v>
      </c>
      <c r="S109" s="172">
        <f>VLOOKUP(Mapping!$F109,_SSPC_90.1,6,FALSE)</f>
        <v>710</v>
      </c>
      <c r="T109" s="172">
        <f>VLOOKUP(Mapping!$F109,_SSPC_90.1,7,FALSE)</f>
        <v>1090</v>
      </c>
      <c r="U109" s="26">
        <f>VLOOKUP(Mapping!$F109,_SSPC_90.1,4,FALSE)</f>
        <v>0.26</v>
      </c>
      <c r="V109" s="231">
        <f>VLOOKUP(Mapping!$I109,_ECB_CS,5,FALSE)</f>
        <v>0.4</v>
      </c>
      <c r="W109" s="135">
        <f>VLOOKUP(Mapping!$J109,_ACM05,6,FALSE)</f>
        <v>120</v>
      </c>
      <c r="X109" s="172">
        <f>VLOOKUP(Mapping!$I109,_ECB_CS,4,FALSE)</f>
        <v>300</v>
      </c>
      <c r="Y109" s="26">
        <f>VLOOKUP(Mapping!$H109,_CEUS,2,FALSE)</f>
        <v>2.2831050228310501E-2</v>
      </c>
      <c r="Z109" s="26">
        <f>VLOOKUP(Mapping!$H109,_CEUS,3,FALSE)</f>
        <v>6.6210045662100453E-2</v>
      </c>
      <c r="AA109" s="32" t="s">
        <v>51</v>
      </c>
      <c r="AB109" s="177" t="s">
        <v>223</v>
      </c>
      <c r="AD109" s="194" t="str">
        <f t="shared" si="6"/>
        <v>H</v>
      </c>
      <c r="AE109" s="176" t="str">
        <f t="shared" si="7"/>
        <v>Convention center, exercise center, motion picture theature, performing arts theater, religious building, sports arena</v>
      </c>
    </row>
    <row r="110" spans="1:31">
      <c r="A110" t="s">
        <v>339</v>
      </c>
      <c r="B110" s="26">
        <f>VLOOKUP(Mapping!$E110,_90_1_2001,2,FALSE)</f>
        <v>2.8</v>
      </c>
      <c r="C110" s="26">
        <f>VLOOKUP(Mapping!$D110,_90_1_2007,2,FALSE)</f>
        <v>2.7</v>
      </c>
      <c r="D110" s="26">
        <f>VLOOKUP(Mapping!$C110,_90_1_2010,2,FALSE)</f>
        <v>2.2599999999999998</v>
      </c>
      <c r="E110" s="26">
        <f>VLOOKUP(Mapping!$C110,_90_1_2010,3,FALSE)</f>
        <v>6</v>
      </c>
      <c r="F110" s="26">
        <f>VLOOKUP(Mapping!$B110,_90_1_2016BM,2,FALSE)</f>
        <v>2.7</v>
      </c>
      <c r="G110" s="134">
        <v>1</v>
      </c>
      <c r="H110" s="169">
        <f>VLOOKUP(Mapping!$B110,_90_1_2016BM,3,FALSE)</f>
        <v>0.1</v>
      </c>
      <c r="I110" s="26">
        <f>VLOOKUP(Mapping!G110,_Plugs,13,FALSE)</f>
        <v>1.2488271893219809</v>
      </c>
      <c r="J110" s="231">
        <f>VLOOKUP(Mapping!$F110,_SSPC_90.1,3,FALSE)</f>
        <v>2</v>
      </c>
      <c r="K110" s="26">
        <f>VLOOKUP(Mapping!$G110,_Plugs,14,FALSE)</f>
        <v>2</v>
      </c>
      <c r="L110" s="26">
        <f>VLOOKUP(Mapping!$G110,_Plugs,15,FALSE)</f>
        <v>0.762081784386617</v>
      </c>
      <c r="M110" s="26">
        <f>VLOOKUP(Mapping!$G110,_Plugs,16,FALSE)</f>
        <v>1</v>
      </c>
      <c r="N110" s="135">
        <v>7</v>
      </c>
      <c r="O110" s="235">
        <f>VLOOKUP(Mapping!$I110,_ECB_CS,2,FALSE)</f>
        <v>200</v>
      </c>
      <c r="P110" s="235">
        <f>VLOOKUP(Mapping!$J110,_ACM05,3,FALSE)</f>
        <v>250</v>
      </c>
      <c r="Q110" s="235">
        <f>VLOOKUP(Mapping!$J110,_ACM05,4,FALSE)</f>
        <v>200</v>
      </c>
      <c r="R110" s="172">
        <f>VLOOKUP(Mapping!$F110,_SSPC_90.1,5,FALSE)</f>
        <v>200</v>
      </c>
      <c r="S110" s="172">
        <f>VLOOKUP(Mapping!$F110,_SSPC_90.1,6,FALSE)</f>
        <v>250</v>
      </c>
      <c r="T110" s="172">
        <f>VLOOKUP(Mapping!$F110,_SSPC_90.1,7,FALSE)</f>
        <v>200</v>
      </c>
      <c r="U110" s="26">
        <f>VLOOKUP(Mapping!$F110,_SSPC_90.1,4,FALSE)</f>
        <v>0.47</v>
      </c>
      <c r="V110" s="231">
        <f>VLOOKUP(Mapping!$I110,_ECB_CS,5,FALSE)</f>
        <v>0.15</v>
      </c>
      <c r="W110" s="135">
        <f>VLOOKUP(Mapping!$J110,_ACM05,6,FALSE)</f>
        <v>160</v>
      </c>
      <c r="X110" s="172">
        <f>VLOOKUP(Mapping!$I110,_ECB_CS,4,FALSE)</f>
        <v>1000</v>
      </c>
      <c r="Y110" s="26">
        <f>VLOOKUP(Mapping!$H110,_CEUS,2,FALSE)</f>
        <v>1.1301369863013697</v>
      </c>
      <c r="Z110" s="26">
        <f>VLOOKUP(Mapping!$H110,_CEUS,3,FALSE)</f>
        <v>8.1050228310502279E-2</v>
      </c>
      <c r="AA110" s="32" t="s">
        <v>51</v>
      </c>
      <c r="AB110" s="177" t="s">
        <v>234</v>
      </c>
      <c r="AD110" s="194" t="str">
        <f t="shared" si="6"/>
        <v>E</v>
      </c>
      <c r="AE110" s="176" t="str">
        <f t="shared" si="7"/>
        <v>Fire station, clinic, hospital, police station, transportation</v>
      </c>
    </row>
    <row r="111" spans="1:31">
      <c r="A111" t="s">
        <v>340</v>
      </c>
      <c r="B111" s="26">
        <f>VLOOKUP(Mapping!$E111,_90_1_2001,2,FALSE)</f>
        <v>1.6</v>
      </c>
      <c r="C111" s="26">
        <f>VLOOKUP(Mapping!$D111,_90_1_2007,2,FALSE)</f>
        <v>1.5</v>
      </c>
      <c r="D111" s="26">
        <f>VLOOKUP(Mapping!$C111,_90_1_2010,2,FALSE)</f>
        <v>1.66</v>
      </c>
      <c r="E111" s="26">
        <f>VLOOKUP(Mapping!$C111,_90_1_2010,3,FALSE)</f>
        <v>8</v>
      </c>
      <c r="F111" s="26">
        <f>VLOOKUP(Mapping!$B111,_90_1_2016BM,2,FALSE)</f>
        <v>1.5</v>
      </c>
      <c r="G111" s="134">
        <v>1</v>
      </c>
      <c r="H111" s="169">
        <f>VLOOKUP(Mapping!$B111,_90_1_2016BM,3,FALSE)</f>
        <v>0.1</v>
      </c>
      <c r="I111" s="26">
        <f>VLOOKUP(Mapping!G111,_Plugs,13,FALSE)</f>
        <v>1.2488271893219809</v>
      </c>
      <c r="J111" s="231">
        <f>VLOOKUP(Mapping!$F111,_SSPC_90.1,3,FALSE)</f>
        <v>2</v>
      </c>
      <c r="K111" s="26">
        <f>VLOOKUP(Mapping!$G111,_Plugs,14,FALSE)</f>
        <v>2</v>
      </c>
      <c r="L111" s="26">
        <f>VLOOKUP(Mapping!$G111,_Plugs,15,FALSE)</f>
        <v>0.762081784386617</v>
      </c>
      <c r="M111" s="26">
        <f>VLOOKUP(Mapping!$G111,_Plugs,16,FALSE)</f>
        <v>1</v>
      </c>
      <c r="N111" s="135">
        <v>7</v>
      </c>
      <c r="O111" s="235">
        <f>VLOOKUP(Mapping!$I111,_ECB_CS,2,FALSE)</f>
        <v>200</v>
      </c>
      <c r="P111" s="235">
        <f>VLOOKUP(Mapping!$J111,_ACM05,3,FALSE)</f>
        <v>250</v>
      </c>
      <c r="Q111" s="235">
        <f>VLOOKUP(Mapping!$J111,_ACM05,4,FALSE)</f>
        <v>200</v>
      </c>
      <c r="R111" s="172">
        <f>VLOOKUP(Mapping!$F111,_SSPC_90.1,5,FALSE)</f>
        <v>200</v>
      </c>
      <c r="S111" s="172">
        <f>VLOOKUP(Mapping!$F111,_SSPC_90.1,6,FALSE)</f>
        <v>250</v>
      </c>
      <c r="T111" s="172">
        <f>VLOOKUP(Mapping!$F111,_SSPC_90.1,7,FALSE)</f>
        <v>200</v>
      </c>
      <c r="U111" s="26">
        <f>VLOOKUP(Mapping!$F111,_SSPC_90.1,4,FALSE)</f>
        <v>0.47</v>
      </c>
      <c r="V111" s="231">
        <f>VLOOKUP(Mapping!$I111,_ECB_CS,5,FALSE)</f>
        <v>7.4999999999999997E-2</v>
      </c>
      <c r="W111" s="135">
        <f>VLOOKUP(Mapping!$J111,_ACM05,6,FALSE)</f>
        <v>160</v>
      </c>
      <c r="X111" s="172">
        <f>VLOOKUP(Mapping!$I111,_ECB_CS,4,FALSE)</f>
        <v>300</v>
      </c>
      <c r="Y111" s="26">
        <f>VLOOKUP(Mapping!$H111,_CEUS,2,FALSE)</f>
        <v>1.1301369863013697</v>
      </c>
      <c r="Z111" s="26">
        <f>VLOOKUP(Mapping!$H111,_CEUS,3,FALSE)</f>
        <v>8.1050228310502279E-2</v>
      </c>
      <c r="AA111" s="32" t="s">
        <v>51</v>
      </c>
      <c r="AB111" s="177" t="s">
        <v>234</v>
      </c>
      <c r="AD111" s="194" t="str">
        <f t="shared" si="6"/>
        <v>E</v>
      </c>
      <c r="AE111" s="176" t="str">
        <f t="shared" si="7"/>
        <v>Fire station, clinic, hospital, police station, transportation</v>
      </c>
    </row>
    <row r="112" spans="1:31">
      <c r="A112" t="s">
        <v>341</v>
      </c>
      <c r="B112" s="26">
        <f>VLOOKUP(Mapping!$E112,_90_1_2001,2,FALSE)</f>
        <v>3</v>
      </c>
      <c r="C112" s="26">
        <f>VLOOKUP(Mapping!$D112,_90_1_2007,2,FALSE)</f>
        <v>1.4</v>
      </c>
      <c r="D112" s="26">
        <f>VLOOKUP(Mapping!$C112,_90_1_2010,2,FALSE)</f>
        <v>1.27</v>
      </c>
      <c r="E112" s="26">
        <f>VLOOKUP(Mapping!$C112,_90_1_2010,3,FALSE)</f>
        <v>6</v>
      </c>
      <c r="F112" s="26">
        <f>VLOOKUP(Mapping!$B112,_90_1_2016BM,2,FALSE)</f>
        <v>1.4</v>
      </c>
      <c r="G112" s="134">
        <v>1</v>
      </c>
      <c r="H112" s="169">
        <f>VLOOKUP(Mapping!$B112,_90_1_2016BM,3,FALSE)</f>
        <v>0.45</v>
      </c>
      <c r="I112" s="26">
        <f>VLOOKUP(Mapping!G112,_Plugs,13,FALSE)</f>
        <v>1.2488271893219809</v>
      </c>
      <c r="J112" s="231">
        <f>VLOOKUP(Mapping!$F112,_SSPC_90.1,3,FALSE)</f>
        <v>2</v>
      </c>
      <c r="K112" s="26">
        <f>VLOOKUP(Mapping!$G112,_Plugs,14,FALSE)</f>
        <v>2</v>
      </c>
      <c r="L112" s="26">
        <f>VLOOKUP(Mapping!$G112,_Plugs,15,FALSE)</f>
        <v>0.762081784386617</v>
      </c>
      <c r="M112" s="26">
        <f>VLOOKUP(Mapping!$G112,_Plugs,16,FALSE)</f>
        <v>1</v>
      </c>
      <c r="N112" s="135">
        <v>7</v>
      </c>
      <c r="O112" s="235">
        <f>VLOOKUP(Mapping!$I112,_ECB_CS,2,FALSE)</f>
        <v>200</v>
      </c>
      <c r="P112" s="235">
        <f>VLOOKUP(Mapping!$J112,_ACM05,3,FALSE)</f>
        <v>250</v>
      </c>
      <c r="Q112" s="235">
        <f>VLOOKUP(Mapping!$J112,_ACM05,4,FALSE)</f>
        <v>200</v>
      </c>
      <c r="R112" s="172">
        <f>VLOOKUP(Mapping!$F112,_SSPC_90.1,5,FALSE)</f>
        <v>200</v>
      </c>
      <c r="S112" s="172">
        <f>VLOOKUP(Mapping!$F112,_SSPC_90.1,6,FALSE)</f>
        <v>250</v>
      </c>
      <c r="T112" s="172">
        <f>VLOOKUP(Mapping!$F112,_SSPC_90.1,7,FALSE)</f>
        <v>200</v>
      </c>
      <c r="U112" s="26">
        <f>VLOOKUP(Mapping!$F112,_SSPC_90.1,4,FALSE)</f>
        <v>0.47</v>
      </c>
      <c r="V112" s="231">
        <f>VLOOKUP(Mapping!$I112,_ECB_CS,5,FALSE)</f>
        <v>0.15</v>
      </c>
      <c r="W112" s="135">
        <f>VLOOKUP(Mapping!$J112,_ACM05,6,FALSE)</f>
        <v>160</v>
      </c>
      <c r="X112" s="172">
        <f>VLOOKUP(Mapping!$I112,_ECB_CS,4,FALSE)</f>
        <v>0</v>
      </c>
      <c r="Y112" s="26">
        <f>VLOOKUP(Mapping!$H112,_CEUS,2,FALSE)</f>
        <v>1.1301369863013697</v>
      </c>
      <c r="Z112" s="26">
        <f>VLOOKUP(Mapping!$H112,_CEUS,3,FALSE)</f>
        <v>8.1050228310502279E-2</v>
      </c>
      <c r="AA112" s="32" t="s">
        <v>51</v>
      </c>
      <c r="AB112" s="177" t="s">
        <v>234</v>
      </c>
      <c r="AD112" s="194" t="str">
        <f t="shared" si="6"/>
        <v>E</v>
      </c>
      <c r="AE112" s="176" t="str">
        <f t="shared" si="7"/>
        <v>Fire station, clinic, hospital, police station, transportation</v>
      </c>
    </row>
    <row r="113" spans="1:31">
      <c r="A113" t="s">
        <v>342</v>
      </c>
      <c r="B113" s="26">
        <f>VLOOKUP(Mapping!$E113,_90_1_2001,2,FALSE)</f>
        <v>1</v>
      </c>
      <c r="C113" s="26">
        <f>VLOOKUP(Mapping!$D113,_90_1_2007,2,FALSE)</f>
        <v>0.6</v>
      </c>
      <c r="D113" s="26">
        <f>VLOOKUP(Mapping!$C113,_90_1_2010,2,FALSE)</f>
        <v>0.88</v>
      </c>
      <c r="E113" s="26">
        <f>VLOOKUP(Mapping!$C113,_90_1_2010,3,FALSE)</f>
        <v>6</v>
      </c>
      <c r="F113" s="26">
        <f>VLOOKUP(Mapping!$B113,_90_1_2016BM,2,FALSE)</f>
        <v>0.6</v>
      </c>
      <c r="G113" s="134">
        <v>1</v>
      </c>
      <c r="H113" s="169">
        <f>VLOOKUP(Mapping!$B113,_90_1_2016BM,3,FALSE)</f>
        <v>0.1</v>
      </c>
      <c r="I113" s="26">
        <f>VLOOKUP(Mapping!G113,_Plugs,13,FALSE)</f>
        <v>1.2488271893219809</v>
      </c>
      <c r="J113" s="231">
        <f>VLOOKUP(Mapping!$F113,_SSPC_90.1,3,FALSE)</f>
        <v>2</v>
      </c>
      <c r="K113" s="26">
        <f>VLOOKUP(Mapping!$G113,_Plugs,14,FALSE)</f>
        <v>2</v>
      </c>
      <c r="L113" s="26">
        <f>VLOOKUP(Mapping!$G113,_Plugs,15,FALSE)</f>
        <v>0.762081784386617</v>
      </c>
      <c r="M113" s="26">
        <f>VLOOKUP(Mapping!$G113,_Plugs,16,FALSE)</f>
        <v>1</v>
      </c>
      <c r="N113" s="135">
        <v>7</v>
      </c>
      <c r="O113" s="235">
        <f>VLOOKUP(Mapping!$I113,_ECB_CS,2,FALSE)</f>
        <v>200</v>
      </c>
      <c r="P113" s="235">
        <f>VLOOKUP(Mapping!$J113,_ACM05,3,FALSE)</f>
        <v>250</v>
      </c>
      <c r="Q113" s="235">
        <f>VLOOKUP(Mapping!$J113,_ACM05,4,FALSE)</f>
        <v>200</v>
      </c>
      <c r="R113" s="172">
        <f>VLOOKUP(Mapping!$F113,_SSPC_90.1,5,FALSE)</f>
        <v>200</v>
      </c>
      <c r="S113" s="172">
        <f>VLOOKUP(Mapping!$F113,_SSPC_90.1,6,FALSE)</f>
        <v>250</v>
      </c>
      <c r="T113" s="172">
        <f>VLOOKUP(Mapping!$F113,_SSPC_90.1,7,FALSE)</f>
        <v>200</v>
      </c>
      <c r="U113" s="26">
        <f>VLOOKUP(Mapping!$F113,_SSPC_90.1,4,FALSE)</f>
        <v>0.47</v>
      </c>
      <c r="V113" s="231">
        <f>VLOOKUP(Mapping!$I113,_ECB_CS,5,FALSE)</f>
        <v>0.125</v>
      </c>
      <c r="W113" s="135">
        <f>VLOOKUP(Mapping!$J113,_ACM05,6,FALSE)</f>
        <v>160</v>
      </c>
      <c r="X113" s="172">
        <f>VLOOKUP(Mapping!$I113,_ECB_CS,4,FALSE)</f>
        <v>300</v>
      </c>
      <c r="Y113" s="26">
        <f>VLOOKUP(Mapping!$H113,_CEUS,2,FALSE)</f>
        <v>1.1301369863013697</v>
      </c>
      <c r="Z113" s="26">
        <f>VLOOKUP(Mapping!$H113,_CEUS,3,FALSE)</f>
        <v>8.1050228310502279E-2</v>
      </c>
      <c r="AA113" s="32" t="s">
        <v>51</v>
      </c>
      <c r="AB113" s="177" t="s">
        <v>234</v>
      </c>
      <c r="AD113" s="194" t="str">
        <f t="shared" si="6"/>
        <v>E</v>
      </c>
      <c r="AE113" s="176" t="str">
        <f t="shared" si="7"/>
        <v>Fire station, clinic, hospital, police station, transportation</v>
      </c>
    </row>
    <row r="114" spans="1:31">
      <c r="A114" t="s">
        <v>343</v>
      </c>
      <c r="B114" s="26">
        <f>VLOOKUP(Mapping!$E114,_90_1_2001,2,FALSE)</f>
        <v>1.8</v>
      </c>
      <c r="C114" s="26">
        <f>VLOOKUP(Mapping!$D114,_90_1_2007,2,FALSE)</f>
        <v>1</v>
      </c>
      <c r="D114" s="26">
        <f>VLOOKUP(Mapping!$C114,_90_1_2010,2,FALSE)</f>
        <v>0.87</v>
      </c>
      <c r="E114" s="26">
        <f>VLOOKUP(Mapping!$C114,_90_1_2010,3,FALSE)</f>
        <v>6</v>
      </c>
      <c r="F114" s="26">
        <f>VLOOKUP(Mapping!$B114,_90_1_2016BM,2,FALSE)</f>
        <v>1</v>
      </c>
      <c r="G114" s="134">
        <v>1</v>
      </c>
      <c r="H114" s="169">
        <f>VLOOKUP(Mapping!$B114,_90_1_2016BM,3,FALSE)</f>
        <v>0.1</v>
      </c>
      <c r="I114" s="26">
        <f>VLOOKUP(Mapping!G114,_Plugs,13,FALSE)</f>
        <v>1.2488271893219809</v>
      </c>
      <c r="J114" s="231">
        <f>VLOOKUP(Mapping!$F114,_SSPC_90.1,3,FALSE)</f>
        <v>2</v>
      </c>
      <c r="K114" s="26">
        <f>VLOOKUP(Mapping!$G114,_Plugs,14,FALSE)</f>
        <v>2</v>
      </c>
      <c r="L114" s="26">
        <f>VLOOKUP(Mapping!$G114,_Plugs,15,FALSE)</f>
        <v>0.762081784386617</v>
      </c>
      <c r="M114" s="26">
        <f>VLOOKUP(Mapping!$G114,_Plugs,16,FALSE)</f>
        <v>1</v>
      </c>
      <c r="N114" s="135">
        <v>7</v>
      </c>
      <c r="O114" s="235">
        <f>VLOOKUP(Mapping!$I114,_ECB_CS,2,FALSE)</f>
        <v>200</v>
      </c>
      <c r="P114" s="235">
        <f>VLOOKUP(Mapping!$J114,_ACM05,3,FALSE)</f>
        <v>250</v>
      </c>
      <c r="Q114" s="235">
        <f>VLOOKUP(Mapping!$J114,_ACM05,4,FALSE)</f>
        <v>200</v>
      </c>
      <c r="R114" s="172">
        <f>VLOOKUP(Mapping!$F114,_SSPC_90.1,5,FALSE)</f>
        <v>200</v>
      </c>
      <c r="S114" s="172">
        <f>VLOOKUP(Mapping!$F114,_SSPC_90.1,6,FALSE)</f>
        <v>250</v>
      </c>
      <c r="T114" s="172">
        <f>VLOOKUP(Mapping!$F114,_SSPC_90.1,7,FALSE)</f>
        <v>200</v>
      </c>
      <c r="U114" s="26">
        <f>VLOOKUP(Mapping!$F114,_SSPC_90.1,4,FALSE)</f>
        <v>0.47</v>
      </c>
      <c r="V114" s="231">
        <f>VLOOKUP(Mapping!$I114,_ECB_CS,5,FALSE)</f>
        <v>7.4999999999999997E-2</v>
      </c>
      <c r="W114" s="135">
        <f>VLOOKUP(Mapping!$J114,_ACM05,6,FALSE)</f>
        <v>160</v>
      </c>
      <c r="X114" s="172">
        <f>VLOOKUP(Mapping!$I114,_ECB_CS,4,FALSE)</f>
        <v>150</v>
      </c>
      <c r="Y114" s="26">
        <f>VLOOKUP(Mapping!$H114,_CEUS,2,FALSE)</f>
        <v>1.1301369863013697</v>
      </c>
      <c r="Z114" s="26">
        <f>VLOOKUP(Mapping!$H114,_CEUS,3,FALSE)</f>
        <v>8.1050228310502279E-2</v>
      </c>
      <c r="AA114" s="32" t="s">
        <v>51</v>
      </c>
      <c r="AB114" s="177" t="s">
        <v>234</v>
      </c>
      <c r="AD114" s="194" t="str">
        <f t="shared" si="6"/>
        <v>E</v>
      </c>
      <c r="AE114" s="176" t="str">
        <f t="shared" si="7"/>
        <v>Fire station, clinic, hospital, police station, transportation</v>
      </c>
    </row>
    <row r="115" spans="1:31">
      <c r="A115" t="s">
        <v>344</v>
      </c>
      <c r="B115" s="26">
        <f>VLOOKUP(Mapping!$E115,_90_1_2001,2,FALSE)</f>
        <v>7.6</v>
      </c>
      <c r="C115" s="26">
        <f>VLOOKUP(Mapping!$D115,_90_1_2007,2,FALSE)</f>
        <v>2.2000000000000002</v>
      </c>
      <c r="D115" s="26">
        <f>VLOOKUP(Mapping!$C115,_90_1_2010,2,FALSE)</f>
        <v>1.89</v>
      </c>
      <c r="E115" s="26">
        <f>VLOOKUP(Mapping!$C115,_90_1_2010,3,FALSE)</f>
        <v>6</v>
      </c>
      <c r="F115" s="26">
        <f>VLOOKUP(Mapping!$B115,_90_1_2016BM,2,FALSE)</f>
        <v>2.2000000000000002</v>
      </c>
      <c r="G115" s="134">
        <v>1</v>
      </c>
      <c r="H115" s="169">
        <f>VLOOKUP(Mapping!$B115,_90_1_2016BM,3,FALSE)</f>
        <v>0.1</v>
      </c>
      <c r="I115" s="26">
        <f>VLOOKUP(Mapping!G115,_Plugs,13,FALSE)</f>
        <v>1.2488271893219809</v>
      </c>
      <c r="J115" s="231">
        <f>VLOOKUP(Mapping!$F115,_SSPC_90.1,3,FALSE)</f>
        <v>2</v>
      </c>
      <c r="K115" s="26">
        <f>VLOOKUP(Mapping!$G115,_Plugs,14,FALSE)</f>
        <v>2</v>
      </c>
      <c r="L115" s="26">
        <f>VLOOKUP(Mapping!$G115,_Plugs,15,FALSE)</f>
        <v>0.762081784386617</v>
      </c>
      <c r="M115" s="26">
        <f>VLOOKUP(Mapping!$G115,_Plugs,16,FALSE)</f>
        <v>1</v>
      </c>
      <c r="N115" s="135">
        <v>7</v>
      </c>
      <c r="O115" s="235">
        <f>VLOOKUP(Mapping!$I115,_ECB_CS,2,FALSE)</f>
        <v>200</v>
      </c>
      <c r="P115" s="235">
        <f>VLOOKUP(Mapping!$J115,_ACM05,3,FALSE)</f>
        <v>250</v>
      </c>
      <c r="Q115" s="235">
        <f>VLOOKUP(Mapping!$J115,_ACM05,4,FALSE)</f>
        <v>200</v>
      </c>
      <c r="R115" s="172">
        <f>VLOOKUP(Mapping!$F115,_SSPC_90.1,5,FALSE)</f>
        <v>200</v>
      </c>
      <c r="S115" s="172">
        <f>VLOOKUP(Mapping!$F115,_SSPC_90.1,6,FALSE)</f>
        <v>250</v>
      </c>
      <c r="T115" s="172">
        <f>VLOOKUP(Mapping!$F115,_SSPC_90.1,7,FALSE)</f>
        <v>200</v>
      </c>
      <c r="U115" s="26">
        <f>VLOOKUP(Mapping!$F115,_SSPC_90.1,4,FALSE)</f>
        <v>0.47</v>
      </c>
      <c r="V115" s="231">
        <f>VLOOKUP(Mapping!$I115,_ECB_CS,5,FALSE)</f>
        <v>0.15</v>
      </c>
      <c r="W115" s="135">
        <f>VLOOKUP(Mapping!$J115,_ACM05,6,FALSE)</f>
        <v>160</v>
      </c>
      <c r="X115" s="172">
        <f>VLOOKUP(Mapping!$I115,_ECB_CS,4,FALSE)</f>
        <v>1000</v>
      </c>
      <c r="Y115" s="26">
        <f>VLOOKUP(Mapping!$H115,_CEUS,2,FALSE)</f>
        <v>1.1301369863013697</v>
      </c>
      <c r="Z115" s="26">
        <f>VLOOKUP(Mapping!$H115,_CEUS,3,FALSE)</f>
        <v>8.1050228310502279E-2</v>
      </c>
      <c r="AA115" s="32" t="s">
        <v>51</v>
      </c>
      <c r="AB115" s="177" t="s">
        <v>234</v>
      </c>
      <c r="AD115" s="194" t="str">
        <f t="shared" si="6"/>
        <v>E</v>
      </c>
      <c r="AE115" s="176" t="str">
        <f t="shared" si="7"/>
        <v>Fire station, clinic, hospital, police station, transportation</v>
      </c>
    </row>
    <row r="116" spans="1:31">
      <c r="A116" t="s">
        <v>345</v>
      </c>
      <c r="B116" s="26">
        <f>VLOOKUP(Mapping!$E116,_90_1_2001,2,FALSE)</f>
        <v>1.2</v>
      </c>
      <c r="C116" s="26">
        <f>VLOOKUP(Mapping!$D116,_90_1_2007,2,FALSE)</f>
        <v>0.7</v>
      </c>
      <c r="D116" s="26">
        <f>VLOOKUP(Mapping!$C116,_90_1_2010,2,FALSE)</f>
        <v>0.62</v>
      </c>
      <c r="E116" s="26">
        <f>VLOOKUP(Mapping!$C116,_90_1_2010,3,FALSE)</f>
        <v>6</v>
      </c>
      <c r="F116" s="26">
        <f>VLOOKUP(Mapping!$B116,_90_1_2016BM,2,FALSE)</f>
        <v>0.7</v>
      </c>
      <c r="G116" s="134">
        <v>1</v>
      </c>
      <c r="H116" s="169">
        <f>VLOOKUP(Mapping!$B116,_90_1_2016BM,3,FALSE)</f>
        <v>0.1</v>
      </c>
      <c r="I116" s="26">
        <f>VLOOKUP(Mapping!G116,_Plugs,13,FALSE)</f>
        <v>1.2488271893219809</v>
      </c>
      <c r="J116" s="231">
        <f>VLOOKUP(Mapping!$F116,_SSPC_90.1,3,FALSE)</f>
        <v>2</v>
      </c>
      <c r="K116" s="26">
        <f>VLOOKUP(Mapping!$G116,_Plugs,14,FALSE)</f>
        <v>2</v>
      </c>
      <c r="L116" s="26">
        <f>VLOOKUP(Mapping!$G116,_Plugs,15,FALSE)</f>
        <v>0.762081784386617</v>
      </c>
      <c r="M116" s="26">
        <f>VLOOKUP(Mapping!$G116,_Plugs,16,FALSE)</f>
        <v>1</v>
      </c>
      <c r="N116" s="135">
        <v>7</v>
      </c>
      <c r="O116" s="235">
        <f>VLOOKUP(Mapping!$I116,_ECB_CS,2,FALSE)</f>
        <v>200</v>
      </c>
      <c r="P116" s="235">
        <f>VLOOKUP(Mapping!$J116,_ACM05,3,FALSE)</f>
        <v>250</v>
      </c>
      <c r="Q116" s="235">
        <f>VLOOKUP(Mapping!$J116,_ACM05,4,FALSE)</f>
        <v>200</v>
      </c>
      <c r="R116" s="172">
        <f>VLOOKUP(Mapping!$F116,_SSPC_90.1,5,FALSE)</f>
        <v>200</v>
      </c>
      <c r="S116" s="172">
        <f>VLOOKUP(Mapping!$F116,_SSPC_90.1,6,FALSE)</f>
        <v>250</v>
      </c>
      <c r="T116" s="172">
        <f>VLOOKUP(Mapping!$F116,_SSPC_90.1,7,FALSE)</f>
        <v>200</v>
      </c>
      <c r="U116" s="26">
        <f>VLOOKUP(Mapping!$F116,_SSPC_90.1,4,FALSE)</f>
        <v>0.47</v>
      </c>
      <c r="V116" s="231">
        <f>VLOOKUP(Mapping!$I116,_ECB_CS,5,FALSE)</f>
        <v>0.125</v>
      </c>
      <c r="W116" s="135">
        <f>VLOOKUP(Mapping!$J116,_ACM05,6,FALSE)</f>
        <v>160</v>
      </c>
      <c r="X116" s="172">
        <f>VLOOKUP(Mapping!$I116,_ECB_CS,4,FALSE)</f>
        <v>300</v>
      </c>
      <c r="Y116" s="26">
        <f>VLOOKUP(Mapping!$H116,_CEUS,2,FALSE)</f>
        <v>1.1301369863013697</v>
      </c>
      <c r="Z116" s="26">
        <f>VLOOKUP(Mapping!$H116,_CEUS,3,FALSE)</f>
        <v>8.1050228310502279E-2</v>
      </c>
      <c r="AA116" s="32" t="s">
        <v>51</v>
      </c>
      <c r="AB116" s="177" t="s">
        <v>234</v>
      </c>
      <c r="AD116" s="194" t="str">
        <f t="shared" si="6"/>
        <v>E</v>
      </c>
      <c r="AE116" s="176" t="str">
        <f t="shared" si="7"/>
        <v>Fire station, clinic, hospital, police station, transportation</v>
      </c>
    </row>
    <row r="117" spans="1:31">
      <c r="A117" t="s">
        <v>346</v>
      </c>
      <c r="B117" s="26">
        <f>VLOOKUP(Mapping!$E117,_90_1_2001,2,FALSE)</f>
        <v>1.9</v>
      </c>
      <c r="C117" s="26">
        <f>VLOOKUP(Mapping!$D117,_90_1_2007,2,FALSE)</f>
        <v>0.9</v>
      </c>
      <c r="D117" s="26">
        <f>VLOOKUP(Mapping!$C117,_90_1_2010,2,FALSE)</f>
        <v>0.91</v>
      </c>
      <c r="E117" s="26">
        <f>VLOOKUP(Mapping!$C117,_90_1_2010,3,FALSE)</f>
        <v>6</v>
      </c>
      <c r="F117" s="26">
        <f>VLOOKUP(Mapping!$B117,_90_1_2016BM,2,FALSE)</f>
        <v>0.9</v>
      </c>
      <c r="G117" s="134">
        <v>1</v>
      </c>
      <c r="H117" s="169">
        <f>VLOOKUP(Mapping!$B117,_90_1_2016BM,3,FALSE)</f>
        <v>0.1</v>
      </c>
      <c r="I117" s="26">
        <f>VLOOKUP(Mapping!G117,_Plugs,13,FALSE)</f>
        <v>1.2488271893219809</v>
      </c>
      <c r="J117" s="231">
        <f>VLOOKUP(Mapping!$F117,_SSPC_90.1,3,FALSE)</f>
        <v>2</v>
      </c>
      <c r="K117" s="26">
        <f>VLOOKUP(Mapping!$G117,_Plugs,14,FALSE)</f>
        <v>2</v>
      </c>
      <c r="L117" s="26">
        <f>VLOOKUP(Mapping!$G117,_Plugs,15,FALSE)</f>
        <v>0.762081784386617</v>
      </c>
      <c r="M117" s="26">
        <f>VLOOKUP(Mapping!$G117,_Plugs,16,FALSE)</f>
        <v>1</v>
      </c>
      <c r="N117" s="135">
        <v>7</v>
      </c>
      <c r="O117" s="235">
        <f>VLOOKUP(Mapping!$I117,_ECB_CS,2,FALSE)</f>
        <v>200</v>
      </c>
      <c r="P117" s="235">
        <f>VLOOKUP(Mapping!$J117,_ACM05,3,FALSE)</f>
        <v>250</v>
      </c>
      <c r="Q117" s="235">
        <f>VLOOKUP(Mapping!$J117,_ACM05,4,FALSE)</f>
        <v>200</v>
      </c>
      <c r="R117" s="172">
        <f>VLOOKUP(Mapping!$F117,_SSPC_90.1,5,FALSE)</f>
        <v>200</v>
      </c>
      <c r="S117" s="172">
        <f>VLOOKUP(Mapping!$F117,_SSPC_90.1,6,FALSE)</f>
        <v>250</v>
      </c>
      <c r="T117" s="172">
        <f>VLOOKUP(Mapping!$F117,_SSPC_90.1,7,FALSE)</f>
        <v>200</v>
      </c>
      <c r="U117" s="26">
        <f>VLOOKUP(Mapping!$F117,_SSPC_90.1,4,FALSE)</f>
        <v>0.47</v>
      </c>
      <c r="V117" s="231">
        <f>VLOOKUP(Mapping!$I117,_ECB_CS,5,FALSE)</f>
        <v>0.125</v>
      </c>
      <c r="W117" s="135">
        <f>VLOOKUP(Mapping!$J117,_ACM05,6,FALSE)</f>
        <v>160</v>
      </c>
      <c r="X117" s="172">
        <f>VLOOKUP(Mapping!$I117,_ECB_CS,4,FALSE)</f>
        <v>150</v>
      </c>
      <c r="Y117" s="26">
        <f>VLOOKUP(Mapping!$H117,_CEUS,2,FALSE)</f>
        <v>1.1301369863013697</v>
      </c>
      <c r="Z117" s="26">
        <f>VLOOKUP(Mapping!$H117,_CEUS,3,FALSE)</f>
        <v>8.1050228310502279E-2</v>
      </c>
      <c r="AA117" s="32" t="s">
        <v>51</v>
      </c>
      <c r="AB117" s="177" t="s">
        <v>234</v>
      </c>
      <c r="AD117" s="194" t="str">
        <f t="shared" si="6"/>
        <v>E</v>
      </c>
      <c r="AE117" s="176" t="str">
        <f t="shared" si="7"/>
        <v>Fire station, clinic, hospital, police station, transportation</v>
      </c>
    </row>
    <row r="118" spans="1:31">
      <c r="A118" t="s">
        <v>347</v>
      </c>
      <c r="B118" s="26">
        <f>VLOOKUP(Mapping!$E118,_90_1_2001,2,FALSE)</f>
        <v>2.6</v>
      </c>
      <c r="C118" s="26">
        <f>VLOOKUP(Mapping!$D118,_90_1_2007,2,FALSE)</f>
        <v>0.8</v>
      </c>
      <c r="D118" s="26">
        <f>VLOOKUP(Mapping!$C118,_90_1_2010,2,FALSE)</f>
        <v>1.1499999999999999</v>
      </c>
      <c r="E118" s="26">
        <f>VLOOKUP(Mapping!$C118,_90_1_2010,3,FALSE)</f>
        <v>6</v>
      </c>
      <c r="F118" s="26">
        <f>VLOOKUP(Mapping!$B118,_90_1_2016BM,2,FALSE)</f>
        <v>0.8</v>
      </c>
      <c r="G118" s="134">
        <v>1</v>
      </c>
      <c r="H118" s="169">
        <f>VLOOKUP(Mapping!$B118,_90_1_2016BM,3,FALSE)</f>
        <v>0.1</v>
      </c>
      <c r="I118" s="26">
        <f>VLOOKUP(Mapping!G118,_Plugs,13,FALSE)</f>
        <v>1.2488271893219809</v>
      </c>
      <c r="J118" s="231">
        <f>VLOOKUP(Mapping!$F118,_SSPC_90.1,3,FALSE)</f>
        <v>2</v>
      </c>
      <c r="K118" s="26">
        <f>VLOOKUP(Mapping!$G118,_Plugs,14,FALSE)</f>
        <v>2</v>
      </c>
      <c r="L118" s="26">
        <f>VLOOKUP(Mapping!$G118,_Plugs,15,FALSE)</f>
        <v>0.762081784386617</v>
      </c>
      <c r="M118" s="26">
        <f>VLOOKUP(Mapping!$G118,_Plugs,16,FALSE)</f>
        <v>1</v>
      </c>
      <c r="N118" s="135">
        <v>7</v>
      </c>
      <c r="O118" s="235">
        <f>VLOOKUP(Mapping!$I118,_ECB_CS,2,FALSE)</f>
        <v>200</v>
      </c>
      <c r="P118" s="235">
        <f>VLOOKUP(Mapping!$J118,_ACM05,3,FALSE)</f>
        <v>250</v>
      </c>
      <c r="Q118" s="235">
        <f>VLOOKUP(Mapping!$J118,_ACM05,4,FALSE)</f>
        <v>200</v>
      </c>
      <c r="R118" s="172">
        <f>VLOOKUP(Mapping!$F118,_SSPC_90.1,5,FALSE)</f>
        <v>200</v>
      </c>
      <c r="S118" s="172">
        <f>VLOOKUP(Mapping!$F118,_SSPC_90.1,6,FALSE)</f>
        <v>250</v>
      </c>
      <c r="T118" s="172">
        <f>VLOOKUP(Mapping!$F118,_SSPC_90.1,7,FALSE)</f>
        <v>200</v>
      </c>
      <c r="U118" s="26">
        <f>VLOOKUP(Mapping!$F118,_SSPC_90.1,4,FALSE)</f>
        <v>0.47</v>
      </c>
      <c r="V118" s="231">
        <f>VLOOKUP(Mapping!$I118,_ECB_CS,5,FALSE)</f>
        <v>7.4999999999999997E-2</v>
      </c>
      <c r="W118" s="135">
        <f>VLOOKUP(Mapping!$J118,_ACM05,6,FALSE)</f>
        <v>160</v>
      </c>
      <c r="X118" s="172">
        <f>VLOOKUP(Mapping!$I118,_ECB_CS,4,FALSE)</f>
        <v>600</v>
      </c>
      <c r="Y118" s="26">
        <f>VLOOKUP(Mapping!$H118,_CEUS,2,FALSE)</f>
        <v>1.1301369863013697</v>
      </c>
      <c r="Z118" s="26">
        <f>VLOOKUP(Mapping!$H118,_CEUS,3,FALSE)</f>
        <v>8.1050228310502279E-2</v>
      </c>
      <c r="AA118" s="32" t="s">
        <v>51</v>
      </c>
      <c r="AB118" s="177" t="s">
        <v>234</v>
      </c>
      <c r="AD118" s="194" t="str">
        <f t="shared" si="6"/>
        <v>E</v>
      </c>
      <c r="AE118" s="176" t="str">
        <f t="shared" si="7"/>
        <v>Fire station, clinic, hospital, police station, transportation</v>
      </c>
    </row>
    <row r="119" spans="1:31">
      <c r="A119" t="s">
        <v>348</v>
      </c>
      <c r="B119" s="26">
        <f>VLOOKUP(Mapping!$E119,_90_1_2001,2,FALSE)</f>
        <v>1.8</v>
      </c>
      <c r="C119" s="26">
        <f>VLOOKUP(Mapping!$D119,_90_1_2007,2,FALSE)</f>
        <v>1.2</v>
      </c>
      <c r="D119" s="26">
        <f>VLOOKUP(Mapping!$C119,_90_1_2010,2,FALSE)</f>
        <v>0.93</v>
      </c>
      <c r="E119" s="26">
        <f>VLOOKUP(Mapping!$C119,_90_1_2010,3,FALSE)</f>
        <v>4</v>
      </c>
      <c r="F119" s="26">
        <f>VLOOKUP(Mapping!$B119,_90_1_2016BM,2,FALSE)</f>
        <v>1.2</v>
      </c>
      <c r="G119" s="134">
        <v>1</v>
      </c>
      <c r="H119" s="169">
        <f>VLOOKUP(Mapping!$B119,_90_1_2016BM,3,FALSE)</f>
        <v>0.15</v>
      </c>
      <c r="I119" s="26">
        <f>VLOOKUP(Mapping!G119,_Plugs,13,FALSE)</f>
        <v>0.93722970243154469</v>
      </c>
      <c r="J119" s="231">
        <f>VLOOKUP(Mapping!$F119,_SSPC_90.1,3,FALSE)</f>
        <v>1.5</v>
      </c>
      <c r="K119" s="26">
        <f>VLOOKUP(Mapping!$G119,_Plugs,14,FALSE)</f>
        <v>2</v>
      </c>
      <c r="L119" s="26">
        <f>VLOOKUP(Mapping!$G119,_Plugs,15,FALSE)</f>
        <v>0.54832713754646845</v>
      </c>
      <c r="M119" s="26">
        <f>VLOOKUP(Mapping!$G119,_Plugs,16,FALSE)</f>
        <v>1</v>
      </c>
      <c r="N119" s="135">
        <v>7</v>
      </c>
      <c r="O119" s="235">
        <f>VLOOKUP(Mapping!$I119,_ECB_CS,2,FALSE)</f>
        <v>200</v>
      </c>
      <c r="P119" s="235">
        <f>VLOOKUP(Mapping!$J119,_ACM05,3,FALSE)</f>
        <v>250</v>
      </c>
      <c r="Q119" s="235">
        <f>VLOOKUP(Mapping!$J119,_ACM05,4,FALSE)</f>
        <v>200</v>
      </c>
      <c r="R119" s="172">
        <f>VLOOKUP(Mapping!$F119,_SSPC_90.1,5,FALSE)</f>
        <v>100</v>
      </c>
      <c r="S119" s="172">
        <f>VLOOKUP(Mapping!$F119,_SSPC_90.1,6,FALSE)</f>
        <v>250</v>
      </c>
      <c r="T119" s="172">
        <f>VLOOKUP(Mapping!$F119,_SSPC_90.1,7,FALSE)</f>
        <v>200</v>
      </c>
      <c r="U119" s="26">
        <f>VLOOKUP(Mapping!$F119,_SSPC_90.1,4,FALSE)</f>
        <v>0.11</v>
      </c>
      <c r="V119" s="231">
        <f>VLOOKUP(Mapping!$I119,_ECB_CS,5,FALSE)</f>
        <v>7.4999999999999997E-2</v>
      </c>
      <c r="W119" s="135">
        <f>VLOOKUP(Mapping!$J119,_ACM05,6,FALSE)</f>
        <v>120</v>
      </c>
      <c r="X119" s="172">
        <f>VLOOKUP(Mapping!$I119,_ECB_CS,4,FALSE)</f>
        <v>300</v>
      </c>
      <c r="Y119" s="26">
        <f>VLOOKUP(Mapping!$H119,_CEUS,2,FALSE)</f>
        <v>2.2831050228310501E-2</v>
      </c>
      <c r="Z119" s="26">
        <f>VLOOKUP(Mapping!$H119,_CEUS,3,FALSE)</f>
        <v>6.6210045662100453E-2</v>
      </c>
      <c r="AA119" s="32" t="s">
        <v>51</v>
      </c>
      <c r="AB119" s="177" t="s">
        <v>242</v>
      </c>
      <c r="AD119" s="194" t="str">
        <f t="shared" si="6"/>
        <v>C</v>
      </c>
      <c r="AE119" s="176" t="str">
        <f t="shared" si="7"/>
        <v>Library, museum, retail</v>
      </c>
    </row>
    <row r="120" spans="1:31">
      <c r="A120" t="s">
        <v>349</v>
      </c>
      <c r="B120" s="26">
        <f>VLOOKUP(Mapping!$E120,_90_1_2001,2,FALSE)</f>
        <v>1.9</v>
      </c>
      <c r="C120" s="26">
        <f>VLOOKUP(Mapping!$D120,_90_1_2007,2,FALSE)</f>
        <v>1.7</v>
      </c>
      <c r="D120" s="26">
        <f>VLOOKUP(Mapping!$C120,_90_1_2010,2,FALSE)</f>
        <v>1.71</v>
      </c>
      <c r="E120" s="26">
        <f>VLOOKUP(Mapping!$C120,_90_1_2010,3,FALSE)</f>
        <v>4</v>
      </c>
      <c r="F120" s="26">
        <f>VLOOKUP(Mapping!$B120,_90_1_2016BM,2,FALSE)</f>
        <v>1.7</v>
      </c>
      <c r="G120" s="134">
        <v>1</v>
      </c>
      <c r="H120" s="169">
        <f>VLOOKUP(Mapping!$B120,_90_1_2016BM,3,FALSE)</f>
        <v>0.15</v>
      </c>
      <c r="I120" s="26">
        <f>VLOOKUP(Mapping!G120,_Plugs,13,FALSE)</f>
        <v>0.93722970243154469</v>
      </c>
      <c r="J120" s="231">
        <f>VLOOKUP(Mapping!$F120,_SSPC_90.1,3,FALSE)</f>
        <v>1.5</v>
      </c>
      <c r="K120" s="26">
        <f>VLOOKUP(Mapping!$G120,_Plugs,14,FALSE)</f>
        <v>2</v>
      </c>
      <c r="L120" s="26">
        <f>VLOOKUP(Mapping!$G120,_Plugs,15,FALSE)</f>
        <v>0.54832713754646845</v>
      </c>
      <c r="M120" s="26">
        <f>VLOOKUP(Mapping!$G120,_Plugs,16,FALSE)</f>
        <v>1</v>
      </c>
      <c r="N120" s="135">
        <v>7</v>
      </c>
      <c r="O120" s="235">
        <f>VLOOKUP(Mapping!$I120,_ECB_CS,2,FALSE)</f>
        <v>200</v>
      </c>
      <c r="P120" s="235">
        <f>VLOOKUP(Mapping!$J120,_ACM05,3,FALSE)</f>
        <v>250</v>
      </c>
      <c r="Q120" s="235">
        <f>VLOOKUP(Mapping!$J120,_ACM05,4,FALSE)</f>
        <v>200</v>
      </c>
      <c r="R120" s="172">
        <f>VLOOKUP(Mapping!$F120,_SSPC_90.1,5,FALSE)</f>
        <v>100</v>
      </c>
      <c r="S120" s="172">
        <f>VLOOKUP(Mapping!$F120,_SSPC_90.1,6,FALSE)</f>
        <v>250</v>
      </c>
      <c r="T120" s="172">
        <f>VLOOKUP(Mapping!$F120,_SSPC_90.1,7,FALSE)</f>
        <v>200</v>
      </c>
      <c r="U120" s="26">
        <f>VLOOKUP(Mapping!$F120,_SSPC_90.1,4,FALSE)</f>
        <v>0.11</v>
      </c>
      <c r="V120" s="231">
        <f>VLOOKUP(Mapping!$I120,_ECB_CS,5,FALSE)</f>
        <v>7.4999999999999997E-2</v>
      </c>
      <c r="W120" s="135">
        <f>VLOOKUP(Mapping!$J120,_ACM05,6,FALSE)</f>
        <v>120</v>
      </c>
      <c r="X120" s="172">
        <f>VLOOKUP(Mapping!$I120,_ECB_CS,4,FALSE)</f>
        <v>300</v>
      </c>
      <c r="Y120" s="26">
        <f>VLOOKUP(Mapping!$H120,_CEUS,2,FALSE)</f>
        <v>2.2831050228310501E-2</v>
      </c>
      <c r="Z120" s="26">
        <f>VLOOKUP(Mapping!$H120,_CEUS,3,FALSE)</f>
        <v>6.6210045662100453E-2</v>
      </c>
      <c r="AA120" s="32" t="s">
        <v>51</v>
      </c>
      <c r="AB120" s="177" t="s">
        <v>242</v>
      </c>
      <c r="AD120" s="194" t="str">
        <f t="shared" si="6"/>
        <v>C</v>
      </c>
      <c r="AE120" s="176" t="str">
        <f t="shared" si="7"/>
        <v>Library, museum, retail</v>
      </c>
    </row>
    <row r="121" spans="1:31">
      <c r="A121" t="s">
        <v>350</v>
      </c>
      <c r="B121" s="26">
        <f>VLOOKUP(Mapping!$E121,_90_1_2001,2,FALSE)</f>
        <v>6.2</v>
      </c>
      <c r="C121" s="26">
        <f>VLOOKUP(Mapping!$D121,_90_1_2007,2,FALSE)</f>
        <v>2.1</v>
      </c>
      <c r="D121" s="26">
        <f>VLOOKUP(Mapping!$C121,_90_1_2010,2,FALSE)</f>
        <v>1.29</v>
      </c>
      <c r="E121" s="26">
        <f>VLOOKUP(Mapping!$C121,_90_1_2010,3,FALSE)</f>
        <v>4</v>
      </c>
      <c r="F121" s="26">
        <f>VLOOKUP(Mapping!$B121,_90_1_2016BM,2,FALSE)</f>
        <v>2.1</v>
      </c>
      <c r="G121" s="134">
        <v>1</v>
      </c>
      <c r="H121" s="169">
        <f>VLOOKUP(Mapping!$B121,_90_1_2016BM,3,FALSE)</f>
        <v>0.1</v>
      </c>
      <c r="I121" s="26">
        <f>VLOOKUP(Mapping!G121,_Plugs,13,FALSE)</f>
        <v>0.34481488715257669</v>
      </c>
      <c r="J121" s="231">
        <f>VLOOKUP(Mapping!$F121,_SSPC_90.1,3,FALSE)</f>
        <v>1</v>
      </c>
      <c r="K121" s="26">
        <f>VLOOKUP(Mapping!$G121,_Plugs,14,FALSE)</f>
        <v>2</v>
      </c>
      <c r="L121" s="26">
        <f>VLOOKUP(Mapping!$G121,_Plugs,15,FALSE)</f>
        <v>0.18587360594795541</v>
      </c>
      <c r="M121" s="26">
        <f>VLOOKUP(Mapping!$G121,_Plugs,16,FALSE)</f>
        <v>1</v>
      </c>
      <c r="N121" s="135">
        <v>7</v>
      </c>
      <c r="O121" s="235">
        <f>VLOOKUP(Mapping!$I121,_ECB_CS,2,FALSE)</f>
        <v>300</v>
      </c>
      <c r="P121" s="235">
        <f>VLOOKUP(Mapping!$J121,_ACM05,3,FALSE)</f>
        <v>250</v>
      </c>
      <c r="Q121" s="235">
        <f>VLOOKUP(Mapping!$J121,_ACM05,4,FALSE)</f>
        <v>200</v>
      </c>
      <c r="R121" s="172">
        <f>VLOOKUP(Mapping!$F121,_SSPC_90.1,5,FALSE)</f>
        <v>143</v>
      </c>
      <c r="S121" s="172">
        <f>VLOOKUP(Mapping!$F121,_SSPC_90.1,6,FALSE)</f>
        <v>580</v>
      </c>
      <c r="T121" s="172">
        <f>VLOOKUP(Mapping!$F121,_SSPC_90.1,7,FALSE)</f>
        <v>870</v>
      </c>
      <c r="U121" s="26">
        <f>VLOOKUP(Mapping!$F121,_SSPC_90.1,4,FALSE)</f>
        <v>0.25</v>
      </c>
      <c r="V121" s="231">
        <f>VLOOKUP(Mapping!$I121,_ECB_CS,5,FALSE)</f>
        <v>0.25</v>
      </c>
      <c r="W121" s="135">
        <f>VLOOKUP(Mapping!$J121,_ACM05,6,FALSE)</f>
        <v>120</v>
      </c>
      <c r="X121" s="172">
        <f>VLOOKUP(Mapping!$I121,_ECB_CS,4,FALSE)</f>
        <v>175</v>
      </c>
      <c r="Y121" s="26">
        <f>VLOOKUP(Mapping!$H121,_CEUS,2,FALSE)</f>
        <v>0.75342465753424659</v>
      </c>
      <c r="Z121" s="26">
        <f>VLOOKUP(Mapping!$H121,_CEUS,3,FALSE)</f>
        <v>9.8173515981735154E-2</v>
      </c>
      <c r="AA121" s="32" t="s">
        <v>51</v>
      </c>
      <c r="AB121" s="177" t="s">
        <v>221</v>
      </c>
      <c r="AD121" s="194" t="str">
        <f t="shared" si="6"/>
        <v>J</v>
      </c>
      <c r="AE121" s="176" t="str">
        <f t="shared" si="7"/>
        <v>Automotive facility, workshop, manufacturing facility</v>
      </c>
    </row>
    <row r="122" spans="1:31">
      <c r="A122" t="s">
        <v>351</v>
      </c>
      <c r="B122" s="26">
        <f>VLOOKUP(Mapping!$E122,_90_1_2001,2,FALSE)</f>
        <v>0.8</v>
      </c>
      <c r="C122" s="26">
        <f>VLOOKUP(Mapping!$D122,_90_1_2007,2,FALSE)</f>
        <v>1.2</v>
      </c>
      <c r="D122" s="26">
        <f>VLOOKUP(Mapping!$C122,_90_1_2010,2,FALSE)</f>
        <v>0.95</v>
      </c>
      <c r="E122" s="26">
        <f>VLOOKUP(Mapping!$C122,_90_1_2010,3,FALSE)</f>
        <v>6</v>
      </c>
      <c r="F122" s="26">
        <f>VLOOKUP(Mapping!$B122,_90_1_2016BM,2,FALSE)</f>
        <v>1.2</v>
      </c>
      <c r="G122" s="134">
        <v>1</v>
      </c>
      <c r="H122" s="169">
        <f>VLOOKUP(Mapping!$B122,_90_1_2016BM,3,FALSE)</f>
        <v>0.1</v>
      </c>
      <c r="I122" s="26">
        <f>VLOOKUP(Mapping!G122,_Plugs,13,FALSE)</f>
        <v>0.34481488715257669</v>
      </c>
      <c r="J122" s="231">
        <f>VLOOKUP(Mapping!$F122,_SSPC_90.1,3,FALSE)</f>
        <v>1</v>
      </c>
      <c r="K122" s="26">
        <f>VLOOKUP(Mapping!$G122,_Plugs,14,FALSE)</f>
        <v>2</v>
      </c>
      <c r="L122" s="26">
        <f>VLOOKUP(Mapping!$G122,_Plugs,15,FALSE)</f>
        <v>0.18587360594795541</v>
      </c>
      <c r="M122" s="26">
        <f>VLOOKUP(Mapping!$G122,_Plugs,16,FALSE)</f>
        <v>1</v>
      </c>
      <c r="N122" s="135">
        <v>7</v>
      </c>
      <c r="O122" s="235">
        <f>VLOOKUP(Mapping!$I122,_ECB_CS,2,FALSE)</f>
        <v>17500</v>
      </c>
      <c r="P122" s="235">
        <f>VLOOKUP(Mapping!$J122,_ACM05,3,FALSE)</f>
        <v>375</v>
      </c>
      <c r="Q122" s="235">
        <f>VLOOKUP(Mapping!$J122,_ACM05,4,FALSE)</f>
        <v>625</v>
      </c>
      <c r="R122" s="172">
        <f>VLOOKUP(Mapping!$F122,_SSPC_90.1,5,FALSE)</f>
        <v>143</v>
      </c>
      <c r="S122" s="172">
        <f>VLOOKUP(Mapping!$F122,_SSPC_90.1,6,FALSE)</f>
        <v>580</v>
      </c>
      <c r="T122" s="172">
        <f>VLOOKUP(Mapping!$F122,_SSPC_90.1,7,FALSE)</f>
        <v>870</v>
      </c>
      <c r="U122" s="26">
        <f>VLOOKUP(Mapping!$F122,_SSPC_90.1,4,FALSE)</f>
        <v>0.25</v>
      </c>
      <c r="V122" s="231">
        <f>VLOOKUP(Mapping!$I122,_ECB_CS,5,FALSE)</f>
        <v>0.05</v>
      </c>
      <c r="W122" s="135">
        <f>VLOOKUP(Mapping!$J122,_ACM05,6,FALSE)</f>
        <v>120</v>
      </c>
      <c r="X122" s="172">
        <f>VLOOKUP(Mapping!$I122,_ECB_CS,4,FALSE)</f>
        <v>1000</v>
      </c>
      <c r="Y122" s="26">
        <f>VLOOKUP(Mapping!$H122,_CEUS,2,FALSE)</f>
        <v>0.75342465753424659</v>
      </c>
      <c r="Z122" s="26">
        <f>VLOOKUP(Mapping!$H122,_CEUS,3,FALSE)</f>
        <v>9.8173515981735154E-2</v>
      </c>
      <c r="AA122" s="32" t="s">
        <v>51</v>
      </c>
      <c r="AB122" s="177" t="s">
        <v>221</v>
      </c>
      <c r="AD122" s="194" t="str">
        <f t="shared" si="6"/>
        <v>J</v>
      </c>
      <c r="AE122" s="176" t="str">
        <f t="shared" si="7"/>
        <v>Automotive facility, workshop, manufacturing facility</v>
      </c>
    </row>
    <row r="123" spans="1:31">
      <c r="A123" t="s">
        <v>352</v>
      </c>
      <c r="B123" s="26">
        <f>VLOOKUP(Mapping!$E123,_90_1_2001,2,FALSE)</f>
        <v>3</v>
      </c>
      <c r="C123" s="26">
        <f>VLOOKUP(Mapping!$D123,_90_1_2007,2,FALSE)</f>
        <v>1.7</v>
      </c>
      <c r="D123" s="26">
        <f>VLOOKUP(Mapping!$C123,_90_1_2010,2,FALSE)</f>
        <v>1.05</v>
      </c>
      <c r="E123" s="26">
        <f>VLOOKUP(Mapping!$C123,_90_1_2010,3,FALSE)</f>
        <v>4</v>
      </c>
      <c r="F123" s="26">
        <f>VLOOKUP(Mapping!$B123,_90_1_2016BM,2,FALSE)</f>
        <v>1.32</v>
      </c>
      <c r="G123" s="134">
        <v>1</v>
      </c>
      <c r="H123" s="169">
        <f>VLOOKUP(Mapping!$B123,_90_1_2016BM,3,FALSE)</f>
        <v>0.1</v>
      </c>
      <c r="I123" s="26">
        <f>VLOOKUP(Mapping!G123,_Plugs,13,FALSE)</f>
        <v>0.34481488715257669</v>
      </c>
      <c r="J123" s="231">
        <f>VLOOKUP(Mapping!$F123,_SSPC_90.1,3,FALSE)</f>
        <v>1</v>
      </c>
      <c r="K123" s="26">
        <f>VLOOKUP(Mapping!$G123,_Plugs,14,FALSE)</f>
        <v>2</v>
      </c>
      <c r="L123" s="26">
        <f>VLOOKUP(Mapping!$G123,_Plugs,15,FALSE)</f>
        <v>0.18587360594795541</v>
      </c>
      <c r="M123" s="26">
        <f>VLOOKUP(Mapping!$G123,_Plugs,16,FALSE)</f>
        <v>1</v>
      </c>
      <c r="N123" s="135">
        <v>7</v>
      </c>
      <c r="O123" s="235">
        <f>VLOOKUP(Mapping!$I123,_ECB_CS,2,FALSE)</f>
        <v>300</v>
      </c>
      <c r="P123" s="235">
        <f>VLOOKUP(Mapping!$J123,_ACM05,3,FALSE)</f>
        <v>375</v>
      </c>
      <c r="Q123" s="235">
        <f>VLOOKUP(Mapping!$J123,_ACM05,4,FALSE)</f>
        <v>625</v>
      </c>
      <c r="R123" s="172">
        <f>VLOOKUP(Mapping!$F123,_SSPC_90.1,5,FALSE)</f>
        <v>143</v>
      </c>
      <c r="S123" s="172">
        <f>VLOOKUP(Mapping!$F123,_SSPC_90.1,6,FALSE)</f>
        <v>580</v>
      </c>
      <c r="T123" s="172">
        <f>VLOOKUP(Mapping!$F123,_SSPC_90.1,7,FALSE)</f>
        <v>870</v>
      </c>
      <c r="U123" s="26">
        <f>VLOOKUP(Mapping!$F123,_SSPC_90.1,4,FALSE)</f>
        <v>0.25</v>
      </c>
      <c r="V123" s="231">
        <f>VLOOKUP(Mapping!$I123,_ECB_CS,5,FALSE)</f>
        <v>0.25</v>
      </c>
      <c r="W123" s="135">
        <f>VLOOKUP(Mapping!$J123,_ACM05,6,FALSE)</f>
        <v>120</v>
      </c>
      <c r="X123" s="172">
        <f>VLOOKUP(Mapping!$I123,_ECB_CS,4,FALSE)</f>
        <v>175</v>
      </c>
      <c r="Y123" s="26">
        <f>VLOOKUP(Mapping!$H123,_CEUS,2,FALSE)</f>
        <v>0.75342465753424659</v>
      </c>
      <c r="Z123" s="26">
        <f>VLOOKUP(Mapping!$H123,_CEUS,3,FALSE)</f>
        <v>9.8173515981735154E-2</v>
      </c>
      <c r="AA123" s="32" t="s">
        <v>51</v>
      </c>
      <c r="AB123" s="177" t="s">
        <v>221</v>
      </c>
      <c r="AD123" s="194" t="str">
        <f t="shared" si="6"/>
        <v>J</v>
      </c>
      <c r="AE123" s="176" t="str">
        <f t="shared" si="7"/>
        <v>Automotive facility, workshop, manufacturing facility</v>
      </c>
    </row>
    <row r="124" spans="1:31">
      <c r="A124" t="s">
        <v>353</v>
      </c>
      <c r="B124" s="26">
        <f>VLOOKUP(Mapping!$E124,_90_1_2001,2,FALSE)</f>
        <v>3</v>
      </c>
      <c r="C124" s="26">
        <f>VLOOKUP(Mapping!$D124,_90_1_2007,2,FALSE)</f>
        <v>1.7</v>
      </c>
      <c r="D124" s="26">
        <f>VLOOKUP(Mapping!$C124,_90_1_2010,2,FALSE)</f>
        <v>1.23</v>
      </c>
      <c r="E124" s="26">
        <f>VLOOKUP(Mapping!$C124,_90_1_2010,3,FALSE)</f>
        <v>4</v>
      </c>
      <c r="F124" s="26">
        <f>VLOOKUP(Mapping!$B124,_90_1_2016BM,2,FALSE)</f>
        <v>1.7</v>
      </c>
      <c r="G124" s="134">
        <v>1</v>
      </c>
      <c r="H124" s="169">
        <f>VLOOKUP(Mapping!$B124,_90_1_2016BM,3,FALSE)</f>
        <v>0.1</v>
      </c>
      <c r="I124" s="26">
        <f>VLOOKUP(Mapping!G124,_Plugs,13,FALSE)</f>
        <v>0.34481488715257669</v>
      </c>
      <c r="J124" s="231">
        <f>VLOOKUP(Mapping!$F124,_SSPC_90.1,3,FALSE)</f>
        <v>1</v>
      </c>
      <c r="K124" s="26">
        <f>VLOOKUP(Mapping!$G124,_Plugs,14,FALSE)</f>
        <v>2</v>
      </c>
      <c r="L124" s="26">
        <f>VLOOKUP(Mapping!$G124,_Plugs,15,FALSE)</f>
        <v>0.18587360594795541</v>
      </c>
      <c r="M124" s="26">
        <f>VLOOKUP(Mapping!$G124,_Plugs,16,FALSE)</f>
        <v>1</v>
      </c>
      <c r="N124" s="135">
        <v>7</v>
      </c>
      <c r="O124" s="235">
        <f>VLOOKUP(Mapping!$I124,_ECB_CS,2,FALSE)</f>
        <v>300</v>
      </c>
      <c r="P124" s="235">
        <f>VLOOKUP(Mapping!$J124,_ACM05,3,FALSE)</f>
        <v>375</v>
      </c>
      <c r="Q124" s="235">
        <f>VLOOKUP(Mapping!$J124,_ACM05,4,FALSE)</f>
        <v>625</v>
      </c>
      <c r="R124" s="172">
        <f>VLOOKUP(Mapping!$F124,_SSPC_90.1,5,FALSE)</f>
        <v>143</v>
      </c>
      <c r="S124" s="172">
        <f>VLOOKUP(Mapping!$F124,_SSPC_90.1,6,FALSE)</f>
        <v>580</v>
      </c>
      <c r="T124" s="172">
        <f>VLOOKUP(Mapping!$F124,_SSPC_90.1,7,FALSE)</f>
        <v>870</v>
      </c>
      <c r="U124" s="26">
        <f>VLOOKUP(Mapping!$F124,_SSPC_90.1,4,FALSE)</f>
        <v>0.25</v>
      </c>
      <c r="V124" s="231">
        <f>VLOOKUP(Mapping!$I124,_ECB_CS,5,FALSE)</f>
        <v>0.25</v>
      </c>
      <c r="W124" s="135">
        <f>VLOOKUP(Mapping!$J124,_ACM05,6,FALSE)</f>
        <v>120</v>
      </c>
      <c r="X124" s="172">
        <f>VLOOKUP(Mapping!$I124,_ECB_CS,4,FALSE)</f>
        <v>175</v>
      </c>
      <c r="Y124" s="26">
        <f>VLOOKUP(Mapping!$H124,_CEUS,2,FALSE)</f>
        <v>0.75342465753424659</v>
      </c>
      <c r="Z124" s="26">
        <f>VLOOKUP(Mapping!$H124,_CEUS,3,FALSE)</f>
        <v>9.8173515981735154E-2</v>
      </c>
      <c r="AA124" s="32" t="s">
        <v>51</v>
      </c>
      <c r="AB124" s="177" t="s">
        <v>221</v>
      </c>
      <c r="AD124" s="194" t="str">
        <f t="shared" si="6"/>
        <v>J</v>
      </c>
      <c r="AE124" s="176" t="str">
        <f t="shared" si="7"/>
        <v>Automotive facility, workshop, manufacturing facility</v>
      </c>
    </row>
    <row r="125" spans="1:31">
      <c r="A125" t="s">
        <v>354</v>
      </c>
      <c r="B125" s="26">
        <f>VLOOKUP(Mapping!$E125,_90_1_2001,2,FALSE)</f>
        <v>2.1</v>
      </c>
      <c r="C125" s="26">
        <f>VLOOKUP(Mapping!$D125,_90_1_2007,2,FALSE)</f>
        <v>1.2</v>
      </c>
      <c r="D125" s="26">
        <f>VLOOKUP(Mapping!$C125,_90_1_2010,2,FALSE)</f>
        <v>1.19</v>
      </c>
      <c r="E125" s="26">
        <f>VLOOKUP(Mapping!$C125,_90_1_2010,3,FALSE)</f>
        <v>4</v>
      </c>
      <c r="F125" s="26">
        <f>VLOOKUP(Mapping!$B125,_90_1_2016BM,2,FALSE)</f>
        <v>1.2</v>
      </c>
      <c r="G125" s="134">
        <v>1</v>
      </c>
      <c r="H125" s="169">
        <f>VLOOKUP(Mapping!$B125,_90_1_2016BM,3,FALSE)</f>
        <v>0.1</v>
      </c>
      <c r="I125" s="26">
        <f>VLOOKUP(Mapping!G125,_Plugs,13,FALSE)</f>
        <v>0.34481488715257669</v>
      </c>
      <c r="J125" s="231">
        <f>VLOOKUP(Mapping!$F125,_SSPC_90.1,3,FALSE)</f>
        <v>1</v>
      </c>
      <c r="K125" s="26">
        <f>VLOOKUP(Mapping!$G125,_Plugs,14,FALSE)</f>
        <v>2</v>
      </c>
      <c r="L125" s="26">
        <f>VLOOKUP(Mapping!$G125,_Plugs,15,FALSE)</f>
        <v>0.18587360594795541</v>
      </c>
      <c r="M125" s="26">
        <f>VLOOKUP(Mapping!$G125,_Plugs,16,FALSE)</f>
        <v>1</v>
      </c>
      <c r="N125" s="135">
        <v>7</v>
      </c>
      <c r="O125" s="235">
        <f>VLOOKUP(Mapping!$I125,_ECB_CS,2,FALSE)</f>
        <v>300</v>
      </c>
      <c r="P125" s="235">
        <f>VLOOKUP(Mapping!$J125,_ACM05,3,FALSE)</f>
        <v>375</v>
      </c>
      <c r="Q125" s="235">
        <f>VLOOKUP(Mapping!$J125,_ACM05,4,FALSE)</f>
        <v>625</v>
      </c>
      <c r="R125" s="172">
        <f>VLOOKUP(Mapping!$F125,_SSPC_90.1,5,FALSE)</f>
        <v>143</v>
      </c>
      <c r="S125" s="172">
        <f>VLOOKUP(Mapping!$F125,_SSPC_90.1,6,FALSE)</f>
        <v>580</v>
      </c>
      <c r="T125" s="172">
        <f>VLOOKUP(Mapping!$F125,_SSPC_90.1,7,FALSE)</f>
        <v>870</v>
      </c>
      <c r="U125" s="26">
        <f>VLOOKUP(Mapping!$F125,_SSPC_90.1,4,FALSE)</f>
        <v>0.25</v>
      </c>
      <c r="V125" s="231">
        <f>VLOOKUP(Mapping!$I125,_ECB_CS,5,FALSE)</f>
        <v>0.25</v>
      </c>
      <c r="W125" s="135">
        <f>VLOOKUP(Mapping!$J125,_ACM05,6,FALSE)</f>
        <v>120</v>
      </c>
      <c r="X125" s="172">
        <f>VLOOKUP(Mapping!$I125,_ECB_CS,4,FALSE)</f>
        <v>175</v>
      </c>
      <c r="Y125" s="26">
        <f>VLOOKUP(Mapping!$H125,_CEUS,2,FALSE)</f>
        <v>0.75342465753424659</v>
      </c>
      <c r="Z125" s="26">
        <f>VLOOKUP(Mapping!$H125,_CEUS,3,FALSE)</f>
        <v>9.8173515981735154E-2</v>
      </c>
      <c r="AA125" s="32" t="s">
        <v>51</v>
      </c>
      <c r="AB125" s="177" t="s">
        <v>221</v>
      </c>
      <c r="AD125" s="194" t="str">
        <f t="shared" si="6"/>
        <v>J</v>
      </c>
      <c r="AE125" s="176" t="str">
        <f t="shared" si="7"/>
        <v>Automotive facility, workshop, manufacturing facility</v>
      </c>
    </row>
    <row r="126" spans="1:31">
      <c r="A126" t="s">
        <v>355</v>
      </c>
      <c r="B126" s="26">
        <f>VLOOKUP(Mapping!$E126,_90_1_2001,2,FALSE)</f>
        <v>1.6</v>
      </c>
      <c r="C126" s="26">
        <f>VLOOKUP(Mapping!$D126,_90_1_2007,2,FALSE)</f>
        <v>1</v>
      </c>
      <c r="D126" s="26">
        <f>VLOOKUP(Mapping!$C126,_90_1_2010,2,FALSE)</f>
        <v>1.05</v>
      </c>
      <c r="E126" s="26">
        <f>VLOOKUP(Mapping!$C126,_90_1_2010,3,FALSE)</f>
        <v>6</v>
      </c>
      <c r="F126" s="26">
        <f>VLOOKUP(Mapping!$B126,_90_1_2016BM,2,FALSE)</f>
        <v>1</v>
      </c>
      <c r="G126" s="134">
        <v>1</v>
      </c>
      <c r="H126" s="169">
        <f>VLOOKUP(Mapping!$B126,_90_1_2016BM,3,FALSE)</f>
        <v>0.1</v>
      </c>
      <c r="I126" s="26">
        <f>VLOOKUP(Mapping!G126,_Plugs,13,FALSE)</f>
        <v>0.74485358050420625</v>
      </c>
      <c r="J126" s="231">
        <f>VLOOKUP(Mapping!$F126,_SSPC_90.1,3,FALSE)</f>
        <v>1.5</v>
      </c>
      <c r="K126" s="26">
        <f>VLOOKUP(Mapping!$G126,_Plugs,14,FALSE)</f>
        <v>2</v>
      </c>
      <c r="L126" s="26">
        <f>VLOOKUP(Mapping!$G126,_Plugs,15,FALSE)</f>
        <v>0.54832713754646845</v>
      </c>
      <c r="M126" s="26">
        <f>VLOOKUP(Mapping!$G126,_Plugs,16,FALSE)</f>
        <v>1</v>
      </c>
      <c r="N126" s="135">
        <v>7</v>
      </c>
      <c r="O126" s="235">
        <f>VLOOKUP(Mapping!$I126,_ECB_CS,2,FALSE)</f>
        <v>50</v>
      </c>
      <c r="P126" s="235">
        <f>VLOOKUP(Mapping!$J126,_ACM05,3,FALSE)</f>
        <v>250</v>
      </c>
      <c r="Q126" s="235">
        <f>VLOOKUP(Mapping!$J126,_ACM05,4,FALSE)</f>
        <v>250</v>
      </c>
      <c r="R126" s="172">
        <f>VLOOKUP(Mapping!$F126,_SSPC_90.1,5,FALSE)</f>
        <v>25</v>
      </c>
      <c r="S126" s="172">
        <f>VLOOKUP(Mapping!$F126,_SSPC_90.1,6,FALSE)</f>
        <v>250</v>
      </c>
      <c r="T126" s="172">
        <f>VLOOKUP(Mapping!$F126,_SSPC_90.1,7,FALSE)</f>
        <v>200</v>
      </c>
      <c r="U126" s="26">
        <f>VLOOKUP(Mapping!$F126,_SSPC_90.1,4,FALSE)</f>
        <v>0.36</v>
      </c>
      <c r="V126" s="231">
        <f>VLOOKUP(Mapping!$I126,_ECB_CS,5,FALSE)</f>
        <v>0.3</v>
      </c>
      <c r="W126" s="135">
        <f>VLOOKUP(Mapping!$J126,_ACM05,6,FALSE)</f>
        <v>60</v>
      </c>
      <c r="X126" s="172">
        <f>VLOOKUP(Mapping!$I126,_ECB_CS,4,FALSE)</f>
        <v>215</v>
      </c>
      <c r="Y126" s="26">
        <f>VLOOKUP(Mapping!$H126,_CEUS,2,FALSE)</f>
        <v>2.2831050228310501E-2</v>
      </c>
      <c r="Z126" s="26">
        <f>VLOOKUP(Mapping!$H126,_CEUS,3,FALSE)</f>
        <v>6.6210045662100453E-2</v>
      </c>
      <c r="AA126" s="32" t="s">
        <v>51</v>
      </c>
      <c r="AB126" s="177" t="s">
        <v>242</v>
      </c>
      <c r="AD126" s="194" t="str">
        <f t="shared" si="6"/>
        <v>C</v>
      </c>
      <c r="AE126" s="176" t="str">
        <f t="shared" si="7"/>
        <v>Library, museum, retail</v>
      </c>
    </row>
    <row r="127" spans="1:31">
      <c r="A127" t="s">
        <v>356</v>
      </c>
      <c r="B127" s="26">
        <f>VLOOKUP(Mapping!$E127,_90_1_2001,2,FALSE)</f>
        <v>2.5</v>
      </c>
      <c r="C127" s="26">
        <f>VLOOKUP(Mapping!$D127,_90_1_2007,2,FALSE)</f>
        <v>1.7</v>
      </c>
      <c r="D127" s="26">
        <f>VLOOKUP(Mapping!$C127,_90_1_2010,2,FALSE)</f>
        <v>1.02</v>
      </c>
      <c r="E127" s="26">
        <f>VLOOKUP(Mapping!$C127,_90_1_2010,3,FALSE)</f>
        <v>6</v>
      </c>
      <c r="F127" s="26">
        <f>VLOOKUP(Mapping!$B127,_90_1_2016BM,2,FALSE)</f>
        <v>1.7</v>
      </c>
      <c r="G127" s="134">
        <v>1</v>
      </c>
      <c r="H127" s="169">
        <f>VLOOKUP(Mapping!$B127,_90_1_2016BM,3,FALSE)</f>
        <v>0.1</v>
      </c>
      <c r="I127" s="26">
        <f>VLOOKUP(Mapping!G127,_Plugs,13,FALSE)</f>
        <v>0.42833678057910263</v>
      </c>
      <c r="J127" s="231">
        <f>VLOOKUP(Mapping!$F127,_SSPC_90.1,3,FALSE)</f>
        <v>1.5</v>
      </c>
      <c r="K127" s="26">
        <f>VLOOKUP(Mapping!$G127,_Plugs,14,FALSE)</f>
        <v>2</v>
      </c>
      <c r="L127" s="26">
        <f>VLOOKUP(Mapping!$G127,_Plugs,15,FALSE)</f>
        <v>0.54832713754646845</v>
      </c>
      <c r="M127" s="26">
        <f>VLOOKUP(Mapping!$G127,_Plugs,16,FALSE)</f>
        <v>1</v>
      </c>
      <c r="N127" s="135">
        <v>7</v>
      </c>
      <c r="O127" s="235">
        <f>VLOOKUP(Mapping!$I127,_ECB_CS,2,FALSE)</f>
        <v>200</v>
      </c>
      <c r="P127" s="235">
        <f>VLOOKUP(Mapping!$J127,_ACM05,3,FALSE)</f>
        <v>275</v>
      </c>
      <c r="Q127" s="235">
        <f>VLOOKUP(Mapping!$J127,_ACM05,4,FALSE)</f>
        <v>475</v>
      </c>
      <c r="R127" s="172">
        <f>VLOOKUP(Mapping!$F127,_SSPC_90.1,5,FALSE)</f>
        <v>25</v>
      </c>
      <c r="S127" s="172">
        <f>VLOOKUP(Mapping!$F127,_SSPC_90.1,6,FALSE)</f>
        <v>250</v>
      </c>
      <c r="T127" s="172">
        <f>VLOOKUP(Mapping!$F127,_SSPC_90.1,7,FALSE)</f>
        <v>200</v>
      </c>
      <c r="U127" s="26">
        <f>VLOOKUP(Mapping!$F127,_SSPC_90.1,4,FALSE)</f>
        <v>0.36</v>
      </c>
      <c r="V127" s="231">
        <f>VLOOKUP(Mapping!$I127,_ECB_CS,5,FALSE)</f>
        <v>0.1</v>
      </c>
      <c r="W127" s="135">
        <f>VLOOKUP(Mapping!$J127,_ACM05,6,FALSE)</f>
        <v>120</v>
      </c>
      <c r="X127" s="172">
        <f>VLOOKUP(Mapping!$I127,_ECB_CS,4,FALSE)</f>
        <v>175</v>
      </c>
      <c r="Y127" s="26">
        <f>VLOOKUP(Mapping!$H127,_CEUS,2,FALSE)</f>
        <v>0.75342465753424659</v>
      </c>
      <c r="Z127" s="26">
        <f>VLOOKUP(Mapping!$H127,_CEUS,3,FALSE)</f>
        <v>9.8173515981735154E-2</v>
      </c>
      <c r="AA127" s="32" t="s">
        <v>51</v>
      </c>
      <c r="AB127" s="177" t="s">
        <v>242</v>
      </c>
      <c r="AD127" s="194" t="str">
        <f t="shared" si="6"/>
        <v>C</v>
      </c>
      <c r="AE127" s="176" t="str">
        <f t="shared" si="7"/>
        <v>Library, museum, retail</v>
      </c>
    </row>
    <row r="128" spans="1:31">
      <c r="A128" t="s">
        <v>357</v>
      </c>
      <c r="B128" s="26">
        <f>VLOOKUP(Mapping!$E128,_90_1_2001,2,FALSE)</f>
        <v>1.7</v>
      </c>
      <c r="C128" s="26">
        <f>VLOOKUP(Mapping!$D128,_90_1_2007,2,FALSE)</f>
        <v>1.2</v>
      </c>
      <c r="D128" s="26">
        <f>VLOOKUP(Mapping!$C128,_90_1_2010,2,FALSE)</f>
        <v>0.94</v>
      </c>
      <c r="E128" s="26">
        <f>VLOOKUP(Mapping!$C128,_90_1_2010,3,FALSE)</f>
        <v>4</v>
      </c>
      <c r="F128" s="26">
        <f>VLOOKUP(Mapping!$B128,_90_1_2016BM,2,FALSE)</f>
        <v>1.2</v>
      </c>
      <c r="G128" s="134">
        <v>1</v>
      </c>
      <c r="H128" s="169">
        <f>VLOOKUP(Mapping!$B128,_90_1_2016BM,3,FALSE)</f>
        <v>0.1</v>
      </c>
      <c r="I128" s="26">
        <f>VLOOKUP(Mapping!G128,_Plugs,13,FALSE)</f>
        <v>1.6689815831571153</v>
      </c>
      <c r="J128" s="231">
        <f>VLOOKUP(Mapping!$F128,_SSPC_90.1,3,FALSE)</f>
        <v>1</v>
      </c>
      <c r="K128" s="26">
        <f>VLOOKUP(Mapping!$G128,_Plugs,14,FALSE)</f>
        <v>2</v>
      </c>
      <c r="L128" s="26">
        <f>VLOOKUP(Mapping!$G128,_Plugs,15,FALSE)</f>
        <v>0.77137546468401497</v>
      </c>
      <c r="M128" s="26">
        <f>VLOOKUP(Mapping!$G128,_Plugs,16,FALSE)</f>
        <v>1</v>
      </c>
      <c r="N128" s="135">
        <v>7</v>
      </c>
      <c r="O128" s="235">
        <f>VLOOKUP(Mapping!$I128,_ECB_CS,2,FALSE)</f>
        <v>300</v>
      </c>
      <c r="P128" s="235">
        <f>VLOOKUP(Mapping!$J128,_ACM05,3,FALSE)</f>
        <v>250</v>
      </c>
      <c r="Q128" s="235">
        <f>VLOOKUP(Mapping!$J128,_ACM05,4,FALSE)</f>
        <v>206</v>
      </c>
      <c r="R128" s="172">
        <f>VLOOKUP(Mapping!$F128,_SSPC_90.1,5,FALSE)</f>
        <v>33</v>
      </c>
      <c r="S128" s="172">
        <f>VLOOKUP(Mapping!$F128,_SSPC_90.1,6,FALSE)</f>
        <v>250</v>
      </c>
      <c r="T128" s="172">
        <f>VLOOKUP(Mapping!$F128,_SSPC_90.1,7,FALSE)</f>
        <v>200</v>
      </c>
      <c r="U128" s="26">
        <f>VLOOKUP(Mapping!$F128,_SSPC_90.1,4,FALSE)</f>
        <v>0.21</v>
      </c>
      <c r="V128" s="231">
        <f>VLOOKUP(Mapping!$I128,_ECB_CS,5,FALSE)</f>
        <v>0.25</v>
      </c>
      <c r="W128" s="135">
        <f>VLOOKUP(Mapping!$J128,_ACM05,6,FALSE)</f>
        <v>106</v>
      </c>
      <c r="X128" s="172">
        <f>VLOOKUP(Mapping!$I128,_ECB_CS,4,FALSE)</f>
        <v>175</v>
      </c>
      <c r="Y128" s="26">
        <f>VLOOKUP(Mapping!$H128,_CEUS,2,FALSE)</f>
        <v>2.2831050228310501E-2</v>
      </c>
      <c r="Z128" s="26">
        <f>VLOOKUP(Mapping!$H128,_CEUS,3,FALSE)</f>
        <v>6.6210045662100453E-2</v>
      </c>
      <c r="AA128" s="32" t="s">
        <v>51</v>
      </c>
      <c r="AB128" s="177" t="s">
        <v>225</v>
      </c>
      <c r="AD128" s="194" t="str">
        <f t="shared" si="6"/>
        <v>A</v>
      </c>
      <c r="AE128" s="176" t="str">
        <f t="shared" si="7"/>
        <v>courthouse, office, post office, town hall</v>
      </c>
    </row>
    <row r="129" spans="1:31">
      <c r="A129" t="s">
        <v>358</v>
      </c>
      <c r="B129" s="26">
        <f>VLOOKUP(Mapping!$E129,_90_1_2001,2,FALSE)</f>
        <v>2.2999999999999998</v>
      </c>
      <c r="C129" s="26">
        <f>VLOOKUP(Mapping!$D129,_90_1_2007,2,FALSE)</f>
        <v>0.9</v>
      </c>
      <c r="D129" s="26">
        <f>VLOOKUP(Mapping!$C129,_90_1_2010,2,FALSE)</f>
        <v>0.64</v>
      </c>
      <c r="E129" s="26">
        <f>VLOOKUP(Mapping!$C129,_90_1_2010,3,FALSE)</f>
        <v>4</v>
      </c>
      <c r="F129" s="26">
        <f>VLOOKUP(Mapping!$B129,_90_1_2016BM,2,FALSE)</f>
        <v>0.9</v>
      </c>
      <c r="G129" s="134">
        <v>1</v>
      </c>
      <c r="H129" s="169">
        <f>VLOOKUP(Mapping!$B129,_90_1_2016BM,3,FALSE)</f>
        <v>0.1</v>
      </c>
      <c r="I129" s="26">
        <f>VLOOKUP(Mapping!G129,_Plugs,13,FALSE)</f>
        <v>0.29844543263937018</v>
      </c>
      <c r="J129" s="231">
        <f>VLOOKUP(Mapping!$F129,_SSPC_90.1,3,FALSE)</f>
        <v>0.96</v>
      </c>
      <c r="K129" s="26">
        <f>VLOOKUP(Mapping!$G129,_Plugs,14,FALSE)</f>
        <v>2</v>
      </c>
      <c r="L129" s="26">
        <f>VLOOKUP(Mapping!$G129,_Plugs,15,FALSE)</f>
        <v>0.54832713754646845</v>
      </c>
      <c r="M129" s="26">
        <f>VLOOKUP(Mapping!$G129,_Plugs,16,FALSE)</f>
        <v>0.4</v>
      </c>
      <c r="N129" s="135">
        <v>7</v>
      </c>
      <c r="O129" s="235">
        <f>VLOOKUP(Mapping!$I129,_ECB_CS,2,FALSE)</f>
        <v>50</v>
      </c>
      <c r="P129" s="235">
        <f>VLOOKUP(Mapping!$J129,_ACM05,3,FALSE)</f>
        <v>245</v>
      </c>
      <c r="Q129" s="235">
        <f>VLOOKUP(Mapping!$J129,_ACM05,4,FALSE)</f>
        <v>105</v>
      </c>
      <c r="R129" s="172">
        <f>VLOOKUP(Mapping!$F129,_SSPC_90.1,5,FALSE)</f>
        <v>8</v>
      </c>
      <c r="S129" s="172">
        <f>VLOOKUP(Mapping!$F129,_SSPC_90.1,6,FALSE)</f>
        <v>245</v>
      </c>
      <c r="T129" s="172">
        <f>VLOOKUP(Mapping!$F129,_SSPC_90.1,7,FALSE)</f>
        <v>155</v>
      </c>
      <c r="U129" s="26">
        <f>VLOOKUP(Mapping!$F129,_SSPC_90.1,4,FALSE)</f>
        <v>0.66</v>
      </c>
      <c r="V129" s="231">
        <f>VLOOKUP(Mapping!$I129,_ECB_CS,5,FALSE)</f>
        <v>0.3</v>
      </c>
      <c r="W129" s="135">
        <f>VLOOKUP(Mapping!$J129,_ACM05,6,FALSE)</f>
        <v>60</v>
      </c>
      <c r="X129" s="172">
        <f>VLOOKUP(Mapping!$I129,_ECB_CS,4,FALSE)</f>
        <v>50</v>
      </c>
      <c r="Y129" s="26">
        <f>VLOOKUP(Mapping!$H129,_CEUS,2,FALSE)</f>
        <v>2.2831050228310501E-2</v>
      </c>
      <c r="Z129" s="26">
        <f>VLOOKUP(Mapping!$H129,_CEUS,3,FALSE)</f>
        <v>6.6210045662100453E-2</v>
      </c>
      <c r="AA129" s="32" t="s">
        <v>51</v>
      </c>
      <c r="AB129" s="177" t="s">
        <v>223</v>
      </c>
      <c r="AD129" s="194" t="str">
        <f t="shared" si="6"/>
        <v>H</v>
      </c>
      <c r="AE129" s="176" t="str">
        <f t="shared" si="7"/>
        <v>Convention center, exercise center, motion picture theature, performing arts theater, religious building, sports arena</v>
      </c>
    </row>
    <row r="130" spans="1:31">
      <c r="A130" t="s">
        <v>359</v>
      </c>
      <c r="B130" s="26">
        <f>VLOOKUP(Mapping!$E130,_90_1_2001,2,FALSE)</f>
        <v>5.2</v>
      </c>
      <c r="C130" s="26">
        <f>VLOOKUP(Mapping!$D130,_90_1_2007,2,FALSE)</f>
        <v>2.4</v>
      </c>
      <c r="D130" s="26">
        <f>VLOOKUP(Mapping!$C130,_90_1_2010,2,FALSE)</f>
        <v>1.53</v>
      </c>
      <c r="E130" s="26">
        <f>VLOOKUP(Mapping!$C130,_90_1_2010,3,FALSE)</f>
        <v>4</v>
      </c>
      <c r="F130" s="26">
        <f>VLOOKUP(Mapping!$B130,_90_1_2016BM,2,FALSE)</f>
        <v>2.4</v>
      </c>
      <c r="G130" s="134">
        <v>1</v>
      </c>
      <c r="H130" s="169">
        <f>VLOOKUP(Mapping!$B130,_90_1_2016BM,3,FALSE)</f>
        <v>0.1</v>
      </c>
      <c r="I130" s="26">
        <f>VLOOKUP(Mapping!G130,_Plugs,13,FALSE)</f>
        <v>0.29844543263937018</v>
      </c>
      <c r="J130" s="231">
        <f>VLOOKUP(Mapping!$F130,_SSPC_90.1,3,FALSE)</f>
        <v>0.96</v>
      </c>
      <c r="K130" s="26">
        <f>VLOOKUP(Mapping!$G130,_Plugs,14,FALSE)</f>
        <v>2</v>
      </c>
      <c r="L130" s="26">
        <f>VLOOKUP(Mapping!$G130,_Plugs,15,FALSE)</f>
        <v>0.54832713754646845</v>
      </c>
      <c r="M130" s="26">
        <f>VLOOKUP(Mapping!$G130,_Plugs,16,FALSE)</f>
        <v>0.4</v>
      </c>
      <c r="N130" s="135">
        <v>7</v>
      </c>
      <c r="O130" s="235">
        <f>VLOOKUP(Mapping!$I130,_ECB_CS,2,FALSE)</f>
        <v>50</v>
      </c>
      <c r="P130" s="235">
        <f>VLOOKUP(Mapping!$J130,_ACM05,3,FALSE)</f>
        <v>245</v>
      </c>
      <c r="Q130" s="235">
        <f>VLOOKUP(Mapping!$J130,_ACM05,4,FALSE)</f>
        <v>105</v>
      </c>
      <c r="R130" s="172">
        <f>VLOOKUP(Mapping!$F130,_SSPC_90.1,5,FALSE)</f>
        <v>8</v>
      </c>
      <c r="S130" s="172">
        <f>VLOOKUP(Mapping!$F130,_SSPC_90.1,6,FALSE)</f>
        <v>245</v>
      </c>
      <c r="T130" s="172">
        <f>VLOOKUP(Mapping!$F130,_SSPC_90.1,7,FALSE)</f>
        <v>155</v>
      </c>
      <c r="U130" s="26">
        <f>VLOOKUP(Mapping!$F130,_SSPC_90.1,4,FALSE)</f>
        <v>0.66</v>
      </c>
      <c r="V130" s="231">
        <f>VLOOKUP(Mapping!$I130,_ECB_CS,5,FALSE)</f>
        <v>0.3</v>
      </c>
      <c r="W130" s="135">
        <f>VLOOKUP(Mapping!$J130,_ACM05,6,FALSE)</f>
        <v>60</v>
      </c>
      <c r="X130" s="172">
        <f>VLOOKUP(Mapping!$I130,_ECB_CS,4,FALSE)</f>
        <v>50</v>
      </c>
      <c r="Y130" s="26">
        <f>VLOOKUP(Mapping!$H130,_CEUS,2,FALSE)</f>
        <v>2.2831050228310501E-2</v>
      </c>
      <c r="Z130" s="26">
        <f>VLOOKUP(Mapping!$H130,_CEUS,3,FALSE)</f>
        <v>6.6210045662100453E-2</v>
      </c>
      <c r="AA130" s="32" t="s">
        <v>51</v>
      </c>
      <c r="AB130" s="177" t="s">
        <v>223</v>
      </c>
      <c r="AD130" s="194" t="str">
        <f t="shared" si="6"/>
        <v>H</v>
      </c>
      <c r="AE130" s="176" t="str">
        <f t="shared" si="7"/>
        <v>Convention center, exercise center, motion picture theature, performing arts theater, religious building, sports arena</v>
      </c>
    </row>
    <row r="131" spans="1:31">
      <c r="A131" t="s">
        <v>360</v>
      </c>
      <c r="B131" s="26">
        <f>VLOOKUP(Mapping!$E131,_90_1_2001,2,FALSE)</f>
        <v>0.8</v>
      </c>
      <c r="C131" s="26">
        <f>VLOOKUP(Mapping!$D131,_90_1_2007,2,FALSE)</f>
        <v>0.6</v>
      </c>
      <c r="D131" s="26">
        <f>VLOOKUP(Mapping!$C131,_90_1_2010,2,FALSE)</f>
        <v>0.4</v>
      </c>
      <c r="E131" s="26">
        <f>VLOOKUP(Mapping!$C131,_90_1_2010,3,FALSE)</f>
        <v>6</v>
      </c>
      <c r="F131" s="26">
        <f>VLOOKUP(Mapping!$B131,_90_1_2016BM,2,FALSE)</f>
        <v>0.89</v>
      </c>
      <c r="G131" s="134">
        <v>1</v>
      </c>
      <c r="H131" s="169">
        <f>VLOOKUP(Mapping!$B131,_90_1_2016BM,3,FALSE)</f>
        <v>0.1</v>
      </c>
      <c r="I131" s="26">
        <f>VLOOKUP(Mapping!G131,_Plugs,13,FALSE)</f>
        <v>0.82156974777792124</v>
      </c>
      <c r="J131" s="231">
        <f>VLOOKUP(Mapping!$F131,_SSPC_90.1,3,FALSE)</f>
        <v>0.3</v>
      </c>
      <c r="K131" s="26">
        <f>VLOOKUP(Mapping!$G131,_Plugs,14,FALSE)</f>
        <v>2</v>
      </c>
      <c r="L131" s="26">
        <f>VLOOKUP(Mapping!$G131,_Plugs,15,FALSE)</f>
        <v>0.34386617100371747</v>
      </c>
      <c r="M131" s="26">
        <f>VLOOKUP(Mapping!$G131,_Plugs,16,FALSE)</f>
        <v>1</v>
      </c>
      <c r="N131" s="135">
        <v>7</v>
      </c>
      <c r="O131" s="235">
        <f>VLOOKUP(Mapping!$I131,_ECB_CS,2,FALSE)</f>
        <v>100</v>
      </c>
      <c r="P131" s="235">
        <f>VLOOKUP(Mapping!$J131,_ACM05,3,FALSE)</f>
        <v>250</v>
      </c>
      <c r="Q131" s="235">
        <f>VLOOKUP(Mapping!$J131,_ACM05,4,FALSE)</f>
        <v>200</v>
      </c>
      <c r="R131" s="172">
        <f>VLOOKUP(Mapping!$F131,_SSPC_90.1,5,FALSE)</f>
        <v>67</v>
      </c>
      <c r="S131" s="172">
        <f>VLOOKUP(Mapping!$F131,_SSPC_90.1,6,FALSE)</f>
        <v>250</v>
      </c>
      <c r="T131" s="172">
        <f>VLOOKUP(Mapping!$F131,_SSPC_90.1,7,FALSE)</f>
        <v>200</v>
      </c>
      <c r="U131" s="26">
        <f>VLOOKUP(Mapping!$F131,_SSPC_90.1,4,FALSE)</f>
        <v>0.23</v>
      </c>
      <c r="V131" s="231">
        <f>VLOOKUP(Mapping!$I131,_ECB_CS,5,FALSE)</f>
        <v>0.5</v>
      </c>
      <c r="W131" s="135">
        <f>VLOOKUP(Mapping!$J131,_ACM05,6,FALSE)</f>
        <v>120</v>
      </c>
      <c r="X131" s="172">
        <f>VLOOKUP(Mapping!$I131,_ECB_CS,4,FALSE)</f>
        <v>0</v>
      </c>
      <c r="Y131" s="26">
        <f>VLOOKUP(Mapping!$H131,_CEUS,2,FALSE)</f>
        <v>0.75342465753424659</v>
      </c>
      <c r="Z131" s="26">
        <f>VLOOKUP(Mapping!$H131,_CEUS,3,FALSE)</f>
        <v>9.8173515981735154E-2</v>
      </c>
      <c r="AA131" s="32" t="s">
        <v>51</v>
      </c>
      <c r="AB131" s="177" t="s">
        <v>242</v>
      </c>
      <c r="AD131" s="194" t="str">
        <f t="shared" si="6"/>
        <v>C</v>
      </c>
      <c r="AE131" s="176" t="str">
        <f t="shared" si="7"/>
        <v>Library, museum, retail</v>
      </c>
    </row>
    <row r="132" spans="1:31">
      <c r="A132" t="s">
        <v>361</v>
      </c>
      <c r="B132" s="26">
        <f>VLOOKUP(Mapping!$E132,_90_1_2001,2,FALSE)</f>
        <v>1.8</v>
      </c>
      <c r="C132" s="26">
        <f>VLOOKUP(Mapping!$D132,_90_1_2007,2,FALSE)</f>
        <v>1.7</v>
      </c>
      <c r="D132" s="26">
        <f>VLOOKUP(Mapping!$C132,_90_1_2010,2,FALSE)</f>
        <v>1.1000000000000001</v>
      </c>
      <c r="E132" s="26">
        <f>VLOOKUP(Mapping!$C132,_90_1_2010,3,FALSE)</f>
        <v>4</v>
      </c>
      <c r="F132" s="26">
        <f>VLOOKUP(Mapping!$B132,_90_1_2016BM,2,FALSE)</f>
        <v>1.7</v>
      </c>
      <c r="G132" s="134">
        <v>1</v>
      </c>
      <c r="H132" s="169">
        <f>VLOOKUP(Mapping!$B132,_90_1_2016BM,3,FALSE)</f>
        <v>0.1</v>
      </c>
      <c r="I132" s="26">
        <f>VLOOKUP(Mapping!G132,_Plugs,13,FALSE)</f>
        <v>0</v>
      </c>
      <c r="J132" s="231">
        <f>VLOOKUP(Mapping!$F132,_SSPC_90.1,3,FALSE)</f>
        <v>0.3</v>
      </c>
      <c r="K132" s="26">
        <f>VLOOKUP(Mapping!$G132,_Plugs,14,FALSE)</f>
        <v>2</v>
      </c>
      <c r="L132" s="26">
        <f>VLOOKUP(Mapping!$G132,_Plugs,15,FALSE)</f>
        <v>0.54832713754646845</v>
      </c>
      <c r="M132" s="26">
        <f>VLOOKUP(Mapping!$G132,_Plugs,16,FALSE)</f>
        <v>1</v>
      </c>
      <c r="N132" s="135">
        <v>7</v>
      </c>
      <c r="O132" s="235">
        <f>VLOOKUP(Mapping!$I132,_ECB_CS,2,FALSE)</f>
        <v>200</v>
      </c>
      <c r="P132" s="235">
        <f>VLOOKUP(Mapping!$J132,_ACM05,3,FALSE)</f>
        <v>250</v>
      </c>
      <c r="Q132" s="235">
        <f>VLOOKUP(Mapping!$J132,_ACM05,4,FALSE)</f>
        <v>250</v>
      </c>
      <c r="R132" s="172">
        <f>VLOOKUP(Mapping!$F132,_SSPC_90.1,5,FALSE)</f>
        <v>67</v>
      </c>
      <c r="S132" s="172">
        <f>VLOOKUP(Mapping!$F132,_SSPC_90.1,6,FALSE)</f>
        <v>250</v>
      </c>
      <c r="T132" s="172">
        <f>VLOOKUP(Mapping!$F132,_SSPC_90.1,7,FALSE)</f>
        <v>200</v>
      </c>
      <c r="U132" s="26">
        <f>VLOOKUP(Mapping!$F132,_SSPC_90.1,4,FALSE)</f>
        <v>0.23</v>
      </c>
      <c r="V132" s="231">
        <f>VLOOKUP(Mapping!$I132,_ECB_CS,5,FALSE)</f>
        <v>0.1</v>
      </c>
      <c r="W132" s="135">
        <f>VLOOKUP(Mapping!$J132,_ACM05,6,FALSE)</f>
        <v>120</v>
      </c>
      <c r="X132" s="172">
        <f>VLOOKUP(Mapping!$I132,_ECB_CS,4,FALSE)</f>
        <v>215</v>
      </c>
      <c r="Y132" s="26">
        <f>VLOOKUP(Mapping!$H132,_CEUS,2,FALSE)</f>
        <v>9.1324200913242004E-2</v>
      </c>
      <c r="Z132" s="26">
        <f>VLOOKUP(Mapping!$H132,_CEUS,3,FALSE)</f>
        <v>0.11757990867579908</v>
      </c>
      <c r="AA132" s="32" t="s">
        <v>68</v>
      </c>
      <c r="AB132" s="177" t="s">
        <v>242</v>
      </c>
      <c r="AD132" s="194" t="str">
        <f t="shared" si="6"/>
        <v>C</v>
      </c>
      <c r="AE132" s="176" t="str">
        <f t="shared" si="7"/>
        <v>Library, museum, retail</v>
      </c>
    </row>
    <row r="133" spans="1:31">
      <c r="A133" t="s">
        <v>362</v>
      </c>
      <c r="B133" s="26">
        <f>VLOOKUP(Mapping!$E133,_90_1_2001,2,FALSE)</f>
        <v>4.3</v>
      </c>
      <c r="C133" s="26">
        <f>VLOOKUP(Mapping!$D133,_90_1_2007,2,FALSE)</f>
        <v>2.2999999999999998</v>
      </c>
      <c r="D133" s="26">
        <f>VLOOKUP(Mapping!$C133,_90_1_2010,2,FALSE)</f>
        <v>0.72</v>
      </c>
      <c r="E133" s="26">
        <f>VLOOKUP(Mapping!$C133,_90_1_2010,3,FALSE)</f>
        <v>4</v>
      </c>
      <c r="F133" s="26">
        <f>VLOOKUP(Mapping!$B133,_90_1_2016BM,2,FALSE)</f>
        <v>4.6100000000000003</v>
      </c>
      <c r="G133" s="134">
        <v>1</v>
      </c>
      <c r="H133" s="169">
        <f>VLOOKUP(Mapping!$B133,_90_1_2016BM,3,FALSE)</f>
        <v>0.1</v>
      </c>
      <c r="I133" s="26">
        <f>VLOOKUP(Mapping!G133,_Plugs,13,FALSE)</f>
        <v>0.67424666522690402</v>
      </c>
      <c r="J133" s="231">
        <f>VLOOKUP(Mapping!$F133,_SSPC_90.1,3,FALSE)</f>
        <v>1</v>
      </c>
      <c r="K133" s="26">
        <f>VLOOKUP(Mapping!$G133,_Plugs,14,FALSE)</f>
        <v>2</v>
      </c>
      <c r="L133" s="26">
        <f>VLOOKUP(Mapping!$G133,_Plugs,15,FALSE)</f>
        <v>0.54832713754646845</v>
      </c>
      <c r="M133" s="26">
        <f>VLOOKUP(Mapping!$G133,_Plugs,16,FALSE)</f>
        <v>1</v>
      </c>
      <c r="N133" s="135">
        <v>7</v>
      </c>
      <c r="O133" s="235">
        <f>VLOOKUP(Mapping!$I133,_ECB_CS,2,FALSE)</f>
        <v>50</v>
      </c>
      <c r="P133" s="235">
        <f>VLOOKUP(Mapping!$J133,_ACM05,3,FALSE)</f>
        <v>255</v>
      </c>
      <c r="Q133" s="235">
        <f>VLOOKUP(Mapping!$J133,_ACM05,4,FALSE)</f>
        <v>875</v>
      </c>
      <c r="R133" s="172">
        <f>VLOOKUP(Mapping!$F133,_SSPC_90.1,5,FALSE)</f>
        <v>0</v>
      </c>
      <c r="S133" s="172">
        <f>VLOOKUP(Mapping!$F133,_SSPC_90.1,6,FALSE)</f>
        <v>245</v>
      </c>
      <c r="T133" s="172">
        <f>VLOOKUP(Mapping!$F133,_SSPC_90.1,7,FALSE)</f>
        <v>105</v>
      </c>
      <c r="U133" s="26">
        <f>VLOOKUP(Mapping!$F133,_SSPC_90.1,4,FALSE)</f>
        <v>0.3</v>
      </c>
      <c r="V133" s="231">
        <f>VLOOKUP(Mapping!$I133,_ECB_CS,5,FALSE)</f>
        <v>0.4</v>
      </c>
      <c r="W133" s="135">
        <f>VLOOKUP(Mapping!$J133,_ACM05,6,FALSE)</f>
        <v>120</v>
      </c>
      <c r="X133" s="172">
        <f>VLOOKUP(Mapping!$I133,_ECB_CS,4,FALSE)</f>
        <v>300</v>
      </c>
      <c r="Y133" s="26">
        <f>VLOOKUP(Mapping!$H133,_CEUS,2,FALSE)</f>
        <v>2.2831050228310501E-2</v>
      </c>
      <c r="Z133" s="26">
        <f>VLOOKUP(Mapping!$H133,_CEUS,3,FALSE)</f>
        <v>6.6210045662100453E-2</v>
      </c>
      <c r="AA133" s="32" t="s">
        <v>51</v>
      </c>
      <c r="AB133" s="177" t="s">
        <v>223</v>
      </c>
      <c r="AD133" s="194" t="str">
        <f t="shared" si="6"/>
        <v>H</v>
      </c>
      <c r="AE133" s="176" t="str">
        <f t="shared" si="7"/>
        <v>Convention center, exercise center, motion picture theature, performing arts theater, religious building, sports arena</v>
      </c>
    </row>
    <row r="134" spans="1:31">
      <c r="A134" t="s">
        <v>363</v>
      </c>
      <c r="B134" s="26">
        <f>VLOOKUP(Mapping!$E134,_90_1_2001,2,FALSE)</f>
        <v>4.3</v>
      </c>
      <c r="C134" s="26">
        <f>VLOOKUP(Mapping!$D134,_90_1_2007,2,FALSE)</f>
        <v>2.2999999999999998</v>
      </c>
      <c r="D134" s="26">
        <f>VLOOKUP(Mapping!$C134,_90_1_2010,2,FALSE)</f>
        <v>1.2</v>
      </c>
      <c r="E134" s="26">
        <f>VLOOKUP(Mapping!$C134,_90_1_2010,3,FALSE)</f>
        <v>4</v>
      </c>
      <c r="F134" s="26">
        <f>VLOOKUP(Mapping!$B134,_90_1_2016BM,2,FALSE)</f>
        <v>3.01</v>
      </c>
      <c r="G134" s="134">
        <v>1</v>
      </c>
      <c r="H134" s="169">
        <f>VLOOKUP(Mapping!$B134,_90_1_2016BM,3,FALSE)</f>
        <v>0.1</v>
      </c>
      <c r="I134" s="26">
        <f>VLOOKUP(Mapping!G134,_Plugs,13,FALSE)</f>
        <v>0.67424666522690402</v>
      </c>
      <c r="J134" s="231">
        <f>VLOOKUP(Mapping!$F134,_SSPC_90.1,3,FALSE)</f>
        <v>1</v>
      </c>
      <c r="K134" s="26">
        <f>VLOOKUP(Mapping!$G134,_Plugs,14,FALSE)</f>
        <v>2</v>
      </c>
      <c r="L134" s="26">
        <f>VLOOKUP(Mapping!$G134,_Plugs,15,FALSE)</f>
        <v>0.54832713754646845</v>
      </c>
      <c r="M134" s="26">
        <f>VLOOKUP(Mapping!$G134,_Plugs,16,FALSE)</f>
        <v>1</v>
      </c>
      <c r="N134" s="135">
        <v>7</v>
      </c>
      <c r="O134" s="235">
        <f>VLOOKUP(Mapping!$I134,_ECB_CS,2,FALSE)</f>
        <v>50</v>
      </c>
      <c r="P134" s="235">
        <f>VLOOKUP(Mapping!$J134,_ACM05,3,FALSE)</f>
        <v>255</v>
      </c>
      <c r="Q134" s="235">
        <f>VLOOKUP(Mapping!$J134,_ACM05,4,FALSE)</f>
        <v>875</v>
      </c>
      <c r="R134" s="172">
        <f>VLOOKUP(Mapping!$F134,_SSPC_90.1,5,FALSE)</f>
        <v>0</v>
      </c>
      <c r="S134" s="172">
        <f>VLOOKUP(Mapping!$F134,_SSPC_90.1,6,FALSE)</f>
        <v>245</v>
      </c>
      <c r="T134" s="172">
        <f>VLOOKUP(Mapping!$F134,_SSPC_90.1,7,FALSE)</f>
        <v>105</v>
      </c>
      <c r="U134" s="26">
        <f>VLOOKUP(Mapping!$F134,_SSPC_90.1,4,FALSE)</f>
        <v>0.3</v>
      </c>
      <c r="V134" s="231">
        <f>VLOOKUP(Mapping!$I134,_ECB_CS,5,FALSE)</f>
        <v>0.4</v>
      </c>
      <c r="W134" s="135">
        <f>VLOOKUP(Mapping!$J134,_ACM05,6,FALSE)</f>
        <v>120</v>
      </c>
      <c r="X134" s="172">
        <f>VLOOKUP(Mapping!$I134,_ECB_CS,4,FALSE)</f>
        <v>200</v>
      </c>
      <c r="Y134" s="26">
        <f>VLOOKUP(Mapping!$H134,_CEUS,2,FALSE)</f>
        <v>2.2831050228310501E-2</v>
      </c>
      <c r="Z134" s="26">
        <f>VLOOKUP(Mapping!$H134,_CEUS,3,FALSE)</f>
        <v>6.6210045662100453E-2</v>
      </c>
      <c r="AA134" s="32" t="s">
        <v>68</v>
      </c>
      <c r="AB134" s="177" t="s">
        <v>223</v>
      </c>
      <c r="AD134" s="194" t="str">
        <f t="shared" si="6"/>
        <v>H</v>
      </c>
      <c r="AE134" s="176" t="str">
        <f t="shared" si="7"/>
        <v>Convention center, exercise center, motion picture theature, performing arts theater, religious building, sports arena</v>
      </c>
    </row>
    <row r="135" spans="1:31">
      <c r="A135" t="s">
        <v>364</v>
      </c>
      <c r="B135" s="26">
        <f>VLOOKUP(Mapping!$E135,_90_1_2001,2,FALSE)</f>
        <v>4.3</v>
      </c>
      <c r="C135" s="26">
        <f>VLOOKUP(Mapping!$D135,_90_1_2007,2,FALSE)</f>
        <v>2.2999999999999998</v>
      </c>
      <c r="D135" s="26">
        <f>VLOOKUP(Mapping!$C135,_90_1_2010,2,FALSE)</f>
        <v>1.92</v>
      </c>
      <c r="E135" s="26">
        <f>VLOOKUP(Mapping!$C135,_90_1_2010,3,FALSE)</f>
        <v>4</v>
      </c>
      <c r="F135" s="26">
        <f>VLOOKUP(Mapping!$B135,_90_1_2016BM,2,FALSE)</f>
        <v>2.2599999999999998</v>
      </c>
      <c r="G135" s="134">
        <v>1</v>
      </c>
      <c r="H135" s="169">
        <f>VLOOKUP(Mapping!$B135,_90_1_2016BM,3,FALSE)</f>
        <v>0.1</v>
      </c>
      <c r="I135" s="26">
        <f>VLOOKUP(Mapping!G135,_Plugs,13,FALSE)</f>
        <v>0.67424666522690402</v>
      </c>
      <c r="J135" s="231">
        <f>VLOOKUP(Mapping!$F135,_SSPC_90.1,3,FALSE)</f>
        <v>1</v>
      </c>
      <c r="K135" s="26">
        <f>VLOOKUP(Mapping!$G135,_Plugs,14,FALSE)</f>
        <v>2</v>
      </c>
      <c r="L135" s="26">
        <f>VLOOKUP(Mapping!$G135,_Plugs,15,FALSE)</f>
        <v>0.54832713754646845</v>
      </c>
      <c r="M135" s="26">
        <f>VLOOKUP(Mapping!$G135,_Plugs,16,FALSE)</f>
        <v>1</v>
      </c>
      <c r="N135" s="135">
        <v>7</v>
      </c>
      <c r="O135" s="235">
        <f>VLOOKUP(Mapping!$I135,_ECB_CS,2,FALSE)</f>
        <v>50</v>
      </c>
      <c r="P135" s="235">
        <f>VLOOKUP(Mapping!$J135,_ACM05,3,FALSE)</f>
        <v>255</v>
      </c>
      <c r="Q135" s="235">
        <f>VLOOKUP(Mapping!$J135,_ACM05,4,FALSE)</f>
        <v>875</v>
      </c>
      <c r="R135" s="172">
        <f>VLOOKUP(Mapping!$F135,_SSPC_90.1,5,FALSE)</f>
        <v>0</v>
      </c>
      <c r="S135" s="172">
        <f>VLOOKUP(Mapping!$F135,_SSPC_90.1,6,FALSE)</f>
        <v>245</v>
      </c>
      <c r="T135" s="172">
        <f>VLOOKUP(Mapping!$F135,_SSPC_90.1,7,FALSE)</f>
        <v>105</v>
      </c>
      <c r="U135" s="26">
        <f>VLOOKUP(Mapping!$F135,_SSPC_90.1,4,FALSE)</f>
        <v>0.3</v>
      </c>
      <c r="V135" s="231">
        <f>VLOOKUP(Mapping!$I135,_ECB_CS,5,FALSE)</f>
        <v>0.4</v>
      </c>
      <c r="W135" s="135">
        <f>VLOOKUP(Mapping!$J135,_ACM05,6,FALSE)</f>
        <v>120</v>
      </c>
      <c r="X135" s="172">
        <f>VLOOKUP(Mapping!$I135,_ECB_CS,4,FALSE)</f>
        <v>200</v>
      </c>
      <c r="Y135" s="26">
        <f>VLOOKUP(Mapping!$H135,_CEUS,2,FALSE)</f>
        <v>2.2831050228310501E-2</v>
      </c>
      <c r="Z135" s="26">
        <f>VLOOKUP(Mapping!$H135,_CEUS,3,FALSE)</f>
        <v>6.6210045662100453E-2</v>
      </c>
      <c r="AA135" s="32" t="s">
        <v>68</v>
      </c>
      <c r="AB135" s="177" t="s">
        <v>223</v>
      </c>
      <c r="AD135" s="194" t="str">
        <f t="shared" ref="AD135:AD141" si="8">VLOOKUP(AB135,SchedulesLookup,2,FALSE)</f>
        <v>H</v>
      </c>
      <c r="AE135" s="176" t="str">
        <f t="shared" ref="AE135:AE141" si="9">VLOOKUP(AB135,SchedulesLookup,3,FALSE)</f>
        <v>Convention center, exercise center, motion picture theature, performing arts theater, religious building, sports arena</v>
      </c>
    </row>
    <row r="136" spans="1:31">
      <c r="A136" t="s">
        <v>365</v>
      </c>
      <c r="B136" s="26">
        <f>VLOOKUP(Mapping!$E136,_90_1_2001,2,FALSE)</f>
        <v>4.3</v>
      </c>
      <c r="C136" s="26">
        <f>VLOOKUP(Mapping!$D136,_90_1_2007,2,FALSE)</f>
        <v>2.2999999999999998</v>
      </c>
      <c r="D136" s="26">
        <f>VLOOKUP(Mapping!$C136,_90_1_2010,2,FALSE)</f>
        <v>3.01</v>
      </c>
      <c r="E136" s="26">
        <f>VLOOKUP(Mapping!$C136,_90_1_2010,3,FALSE)</f>
        <v>4</v>
      </c>
      <c r="F136" s="26">
        <f>VLOOKUP(Mapping!$B136,_90_1_2016BM,2,FALSE)</f>
        <v>1.5</v>
      </c>
      <c r="G136" s="134">
        <v>1</v>
      </c>
      <c r="H136" s="169">
        <f>VLOOKUP(Mapping!$B136,_90_1_2016BM,3,FALSE)</f>
        <v>0.1</v>
      </c>
      <c r="I136" s="26">
        <f>VLOOKUP(Mapping!G136,_Plugs,13,FALSE)</f>
        <v>0.67424666522690402</v>
      </c>
      <c r="J136" s="231">
        <f>VLOOKUP(Mapping!$F136,_SSPC_90.1,3,FALSE)</f>
        <v>1</v>
      </c>
      <c r="K136" s="26">
        <f>VLOOKUP(Mapping!$G136,_Plugs,14,FALSE)</f>
        <v>2</v>
      </c>
      <c r="L136" s="26">
        <f>VLOOKUP(Mapping!$G136,_Plugs,15,FALSE)</f>
        <v>0.54832713754646845</v>
      </c>
      <c r="M136" s="26">
        <f>VLOOKUP(Mapping!$G136,_Plugs,16,FALSE)</f>
        <v>1</v>
      </c>
      <c r="N136" s="135">
        <v>7</v>
      </c>
      <c r="O136" s="235">
        <f>VLOOKUP(Mapping!$I136,_ECB_CS,2,FALSE)</f>
        <v>50</v>
      </c>
      <c r="P136" s="235">
        <f>VLOOKUP(Mapping!$J136,_ACM05,3,FALSE)</f>
        <v>255</v>
      </c>
      <c r="Q136" s="235">
        <f>VLOOKUP(Mapping!$J136,_ACM05,4,FALSE)</f>
        <v>875</v>
      </c>
      <c r="R136" s="172">
        <f>VLOOKUP(Mapping!$F136,_SSPC_90.1,5,FALSE)</f>
        <v>0</v>
      </c>
      <c r="S136" s="172">
        <f>VLOOKUP(Mapping!$F136,_SSPC_90.1,6,FALSE)</f>
        <v>245</v>
      </c>
      <c r="T136" s="172">
        <f>VLOOKUP(Mapping!$F136,_SSPC_90.1,7,FALSE)</f>
        <v>105</v>
      </c>
      <c r="U136" s="26">
        <f>VLOOKUP(Mapping!$F136,_SSPC_90.1,4,FALSE)</f>
        <v>0.3</v>
      </c>
      <c r="V136" s="231">
        <f>VLOOKUP(Mapping!$I136,_ECB_CS,5,FALSE)</f>
        <v>0.4</v>
      </c>
      <c r="W136" s="135">
        <f>VLOOKUP(Mapping!$J136,_ACM05,6,FALSE)</f>
        <v>120</v>
      </c>
      <c r="X136" s="172">
        <f>VLOOKUP(Mapping!$I136,_ECB_CS,4,FALSE)</f>
        <v>200</v>
      </c>
      <c r="Y136" s="26">
        <f>VLOOKUP(Mapping!$H136,_CEUS,2,FALSE)</f>
        <v>2.2831050228310501E-2</v>
      </c>
      <c r="Z136" s="26">
        <f>VLOOKUP(Mapping!$H136,_CEUS,3,FALSE)</f>
        <v>6.6210045662100453E-2</v>
      </c>
      <c r="AA136" s="32" t="s">
        <v>68</v>
      </c>
      <c r="AB136" s="177" t="s">
        <v>223</v>
      </c>
      <c r="AD136" s="194" t="str">
        <f t="shared" si="8"/>
        <v>H</v>
      </c>
      <c r="AE136" s="176" t="str">
        <f t="shared" si="9"/>
        <v>Convention center, exercise center, motion picture theature, performing arts theater, religious building, sports arena</v>
      </c>
    </row>
    <row r="137" spans="1:31">
      <c r="A137" t="s">
        <v>366</v>
      </c>
      <c r="B137" s="26">
        <f>VLOOKUP(Mapping!$E137,_90_1_2001,2,FALSE)</f>
        <v>1.3</v>
      </c>
      <c r="C137" s="26">
        <f>VLOOKUP(Mapping!$D137,_90_1_2007,2,FALSE)</f>
        <v>1</v>
      </c>
      <c r="D137" s="26">
        <f>VLOOKUP(Mapping!$C137,_90_1_2010,2,FALSE)</f>
        <v>0.76</v>
      </c>
      <c r="E137" s="26">
        <f>VLOOKUP(Mapping!$C137,_90_1_2010,3,FALSE)</f>
        <v>4</v>
      </c>
      <c r="F137" s="26">
        <f>VLOOKUP(Mapping!$B137,_90_1_2016BM,2,FALSE)</f>
        <v>1</v>
      </c>
      <c r="G137" s="134">
        <v>1</v>
      </c>
      <c r="H137" s="169">
        <f>VLOOKUP(Mapping!$B137,_90_1_2016BM,3,FALSE)</f>
        <v>0.1</v>
      </c>
      <c r="I137" s="26">
        <f>VLOOKUP(Mapping!G137,_Plugs,13,FALSE)</f>
        <v>0.76224769399973591</v>
      </c>
      <c r="J137" s="231">
        <f>VLOOKUP(Mapping!$F137,_SSPC_90.1,3,FALSE)</f>
        <v>0.5</v>
      </c>
      <c r="K137" s="26">
        <f>VLOOKUP(Mapping!$G137,_Plugs,14,FALSE)</f>
        <v>2</v>
      </c>
      <c r="L137" s="26">
        <f>VLOOKUP(Mapping!$G137,_Plugs,15,FALSE)</f>
        <v>0.54832713754646845</v>
      </c>
      <c r="M137" s="26">
        <f>VLOOKUP(Mapping!$G137,_Plugs,16,FALSE)</f>
        <v>1</v>
      </c>
      <c r="N137" s="135">
        <v>7</v>
      </c>
      <c r="O137" s="235">
        <f>VLOOKUP(Mapping!$I137,_ECB_CS,2,FALSE)</f>
        <v>200</v>
      </c>
      <c r="P137" s="235">
        <f>VLOOKUP(Mapping!$J137,_ACM05,3,FALSE)</f>
        <v>250</v>
      </c>
      <c r="Q137" s="235">
        <f>VLOOKUP(Mapping!$J137,_ACM05,4,FALSE)</f>
        <v>250</v>
      </c>
      <c r="R137" s="172">
        <f>VLOOKUP(Mapping!$F137,_SSPC_90.1,5,FALSE)</f>
        <v>10</v>
      </c>
      <c r="S137" s="172">
        <f>VLOOKUP(Mapping!$F137,_SSPC_90.1,6,FALSE)</f>
        <v>225</v>
      </c>
      <c r="T137" s="172">
        <f>VLOOKUP(Mapping!$F137,_SSPC_90.1,7,FALSE)</f>
        <v>105</v>
      </c>
      <c r="U137" s="26">
        <f>VLOOKUP(Mapping!$F137,_SSPC_90.1,4,FALSE)</f>
        <v>0.81</v>
      </c>
      <c r="V137" s="231">
        <f>VLOOKUP(Mapping!$I137,_ECB_CS,5,FALSE)</f>
        <v>0.1</v>
      </c>
      <c r="W137" s="135">
        <f>VLOOKUP(Mapping!$J137,_ACM05,6,FALSE)</f>
        <v>120</v>
      </c>
      <c r="X137" s="172">
        <f>VLOOKUP(Mapping!$I137,_ECB_CS,4,FALSE)</f>
        <v>215</v>
      </c>
      <c r="Y137" s="26">
        <f>VLOOKUP(Mapping!$H137,_CEUS,2,FALSE)</f>
        <v>2.2831050228310501E-2</v>
      </c>
      <c r="Z137" s="26">
        <f>VLOOKUP(Mapping!$H137,_CEUS,3,FALSE)</f>
        <v>6.6210045662100453E-2</v>
      </c>
      <c r="AA137" s="32" t="s">
        <v>68</v>
      </c>
      <c r="AB137" s="177" t="s">
        <v>234</v>
      </c>
      <c r="AD137" s="194" t="str">
        <f t="shared" si="8"/>
        <v>E</v>
      </c>
      <c r="AE137" s="176" t="str">
        <f t="shared" si="9"/>
        <v>Fire station, clinic, hospital, police station, transportation</v>
      </c>
    </row>
    <row r="138" spans="1:31">
      <c r="A138" t="s">
        <v>367</v>
      </c>
      <c r="B138" s="26">
        <f>VLOOKUP(Mapping!$E138,_90_1_2001,2,FALSE)</f>
        <v>0.7</v>
      </c>
      <c r="C138" s="26">
        <f>VLOOKUP(Mapping!$D138,_90_1_2007,2,FALSE)</f>
        <v>0.6</v>
      </c>
      <c r="D138" s="26">
        <f>VLOOKUP(Mapping!$C138,_90_1_2010,2,FALSE)</f>
        <v>0.36</v>
      </c>
      <c r="E138" s="26">
        <f>VLOOKUP(Mapping!$C138,_90_1_2010,3,FALSE)</f>
        <v>4</v>
      </c>
      <c r="F138" s="26">
        <f>VLOOKUP(Mapping!$B138,_90_1_2016BM,2,FALSE)</f>
        <v>0.6</v>
      </c>
      <c r="G138" s="134">
        <v>1</v>
      </c>
      <c r="H138" s="169">
        <f>VLOOKUP(Mapping!$B138,_90_1_2016BM,3,FALSE)</f>
        <v>0.1</v>
      </c>
      <c r="I138" s="26">
        <f>VLOOKUP(Mapping!G138,_Plugs,13,FALSE)</f>
        <v>0.76224769399973591</v>
      </c>
      <c r="J138" s="231">
        <f>VLOOKUP(Mapping!$F138,_SSPC_90.1,3,FALSE)</f>
        <v>0.5</v>
      </c>
      <c r="K138" s="26">
        <f>VLOOKUP(Mapping!$G138,_Plugs,14,FALSE)</f>
        <v>2</v>
      </c>
      <c r="L138" s="26">
        <f>VLOOKUP(Mapping!$G138,_Plugs,15,FALSE)</f>
        <v>0.54832713754646845</v>
      </c>
      <c r="M138" s="26">
        <f>VLOOKUP(Mapping!$G138,_Plugs,16,FALSE)</f>
        <v>1</v>
      </c>
      <c r="N138" s="135">
        <v>7</v>
      </c>
      <c r="O138" s="235">
        <f>VLOOKUP(Mapping!$I138,_ECB_CS,2,FALSE)</f>
        <v>200</v>
      </c>
      <c r="P138" s="235">
        <f>VLOOKUP(Mapping!$J138,_ACM05,3,FALSE)</f>
        <v>250</v>
      </c>
      <c r="Q138" s="235">
        <f>VLOOKUP(Mapping!$J138,_ACM05,4,FALSE)</f>
        <v>250</v>
      </c>
      <c r="R138" s="172">
        <f>VLOOKUP(Mapping!$F138,_SSPC_90.1,5,FALSE)</f>
        <v>10</v>
      </c>
      <c r="S138" s="172">
        <f>VLOOKUP(Mapping!$F138,_SSPC_90.1,6,FALSE)</f>
        <v>225</v>
      </c>
      <c r="T138" s="172">
        <f>VLOOKUP(Mapping!$F138,_SSPC_90.1,7,FALSE)</f>
        <v>105</v>
      </c>
      <c r="U138" s="26">
        <f>VLOOKUP(Mapping!$F138,_SSPC_90.1,4,FALSE)</f>
        <v>0.81</v>
      </c>
      <c r="V138" s="231">
        <f>VLOOKUP(Mapping!$I138,_ECB_CS,5,FALSE)</f>
        <v>0.1</v>
      </c>
      <c r="W138" s="135">
        <f>VLOOKUP(Mapping!$J138,_ACM05,6,FALSE)</f>
        <v>120</v>
      </c>
      <c r="X138" s="172">
        <f>VLOOKUP(Mapping!$I138,_ECB_CS,4,FALSE)</f>
        <v>215</v>
      </c>
      <c r="Y138" s="26">
        <f>VLOOKUP(Mapping!$H138,_CEUS,2,FALSE)</f>
        <v>2.2831050228310501E-2</v>
      </c>
      <c r="Z138" s="26">
        <f>VLOOKUP(Mapping!$H138,_CEUS,3,FALSE)</f>
        <v>6.6210045662100453E-2</v>
      </c>
      <c r="AA138" s="32" t="s">
        <v>51</v>
      </c>
      <c r="AB138" s="177" t="s">
        <v>234</v>
      </c>
      <c r="AD138" s="194" t="str">
        <f t="shared" si="8"/>
        <v>E</v>
      </c>
      <c r="AE138" s="176" t="str">
        <f t="shared" si="9"/>
        <v>Fire station, clinic, hospital, police station, transportation</v>
      </c>
    </row>
    <row r="139" spans="1:31">
      <c r="A139" t="s">
        <v>368</v>
      </c>
      <c r="B139" s="26">
        <f>VLOOKUP(Mapping!$E139,_90_1_2001,2,FALSE)</f>
        <v>1.8</v>
      </c>
      <c r="C139" s="26">
        <f>VLOOKUP(Mapping!$D139,_90_1_2007,2,FALSE)</f>
        <v>1.5</v>
      </c>
      <c r="D139" s="26">
        <f>VLOOKUP(Mapping!$C139,_90_1_2010,2,FALSE)</f>
        <v>1.08</v>
      </c>
      <c r="E139" s="26">
        <f>VLOOKUP(Mapping!$C139,_90_1_2010,3,FALSE)</f>
        <v>4</v>
      </c>
      <c r="F139" s="26">
        <f>VLOOKUP(Mapping!$B139,_90_1_2016BM,2,FALSE)</f>
        <v>1.5</v>
      </c>
      <c r="G139" s="134">
        <v>1</v>
      </c>
      <c r="H139" s="169">
        <f>VLOOKUP(Mapping!$B139,_90_1_2016BM,3,FALSE)</f>
        <v>0.1</v>
      </c>
      <c r="I139" s="26">
        <f>VLOOKUP(Mapping!G139,_Plugs,13,FALSE)</f>
        <v>0.76224769399973591</v>
      </c>
      <c r="J139" s="231">
        <f>VLOOKUP(Mapping!$F139,_SSPC_90.1,3,FALSE)</f>
        <v>0.5</v>
      </c>
      <c r="K139" s="26">
        <f>VLOOKUP(Mapping!$G139,_Plugs,14,FALSE)</f>
        <v>2</v>
      </c>
      <c r="L139" s="26">
        <f>VLOOKUP(Mapping!$G139,_Plugs,15,FALSE)</f>
        <v>0.54832713754646845</v>
      </c>
      <c r="M139" s="26">
        <f>VLOOKUP(Mapping!$G139,_Plugs,16,FALSE)</f>
        <v>1</v>
      </c>
      <c r="N139" s="135">
        <v>7</v>
      </c>
      <c r="O139" s="235">
        <f>VLOOKUP(Mapping!$I139,_ECB_CS,2,FALSE)</f>
        <v>100</v>
      </c>
      <c r="P139" s="235">
        <f>VLOOKUP(Mapping!$J139,_ACM05,3,FALSE)</f>
        <v>250</v>
      </c>
      <c r="Q139" s="235">
        <f>VLOOKUP(Mapping!$J139,_ACM05,4,FALSE)</f>
        <v>250</v>
      </c>
      <c r="R139" s="172">
        <f>VLOOKUP(Mapping!$F139,_SSPC_90.1,5,FALSE)</f>
        <v>10</v>
      </c>
      <c r="S139" s="172">
        <f>VLOOKUP(Mapping!$F139,_SSPC_90.1,6,FALSE)</f>
        <v>225</v>
      </c>
      <c r="T139" s="172">
        <f>VLOOKUP(Mapping!$F139,_SSPC_90.1,7,FALSE)</f>
        <v>105</v>
      </c>
      <c r="U139" s="26">
        <f>VLOOKUP(Mapping!$F139,_SSPC_90.1,4,FALSE)</f>
        <v>0.81</v>
      </c>
      <c r="V139" s="231">
        <f>VLOOKUP(Mapping!$I139,_ECB_CS,5,FALSE)</f>
        <v>0.2</v>
      </c>
      <c r="W139" s="135">
        <f>VLOOKUP(Mapping!$J139,_ACM05,6,FALSE)</f>
        <v>120</v>
      </c>
      <c r="X139" s="172">
        <f>VLOOKUP(Mapping!$I139,_ECB_CS,4,FALSE)</f>
        <v>215</v>
      </c>
      <c r="Y139" s="26">
        <f>VLOOKUP(Mapping!$H139,_CEUS,2,FALSE)</f>
        <v>2.2831050228310501E-2</v>
      </c>
      <c r="Z139" s="26">
        <f>VLOOKUP(Mapping!$H139,_CEUS,3,FALSE)</f>
        <v>6.6210045662100453E-2</v>
      </c>
      <c r="AA139" s="32" t="s">
        <v>51</v>
      </c>
      <c r="AB139" s="177" t="s">
        <v>234</v>
      </c>
      <c r="AD139" s="194" t="str">
        <f t="shared" si="8"/>
        <v>E</v>
      </c>
      <c r="AE139" s="176" t="str">
        <f t="shared" si="9"/>
        <v>Fire station, clinic, hospital, police station, transportation</v>
      </c>
    </row>
    <row r="140" spans="1:31">
      <c r="A140" t="s">
        <v>369</v>
      </c>
      <c r="B140" s="26">
        <f>VLOOKUP(Mapping!$E140,_90_1_2001,2,FALSE)</f>
        <v>1.1000000000000001</v>
      </c>
      <c r="C140" s="26">
        <f>VLOOKUP(Mapping!$D140,_90_1_2007,2,FALSE)</f>
        <v>0.9</v>
      </c>
      <c r="D140" s="26">
        <f>VLOOKUP(Mapping!$C140,_90_1_2010,2,FALSE)</f>
        <v>0.57999999999999996</v>
      </c>
      <c r="E140" s="26">
        <f>VLOOKUP(Mapping!$C140,_90_1_2010,3,FALSE)</f>
        <v>4</v>
      </c>
      <c r="F140" s="26">
        <f>VLOOKUP(Mapping!$B140,_90_1_2016BM,2,FALSE)</f>
        <v>0.9</v>
      </c>
      <c r="G140" s="134">
        <v>1</v>
      </c>
      <c r="H140" s="169">
        <f>VLOOKUP(Mapping!$B140,_90_1_2016BM,3,FALSE)</f>
        <v>0.15</v>
      </c>
      <c r="I140" s="26">
        <f>VLOOKUP(Mapping!G140,_Plugs,13,FALSE)</f>
        <v>0.31394912262618863</v>
      </c>
      <c r="J140" s="231">
        <f>VLOOKUP(Mapping!$F140,_SSPC_90.1,3,FALSE)</f>
        <v>0.24</v>
      </c>
      <c r="K140" s="26">
        <f>VLOOKUP(Mapping!$G140,_Plugs,14,FALSE)</f>
        <v>2</v>
      </c>
      <c r="L140" s="26">
        <f>VLOOKUP(Mapping!$G140,_Plugs,15,FALSE)</f>
        <v>0.18587360594795541</v>
      </c>
      <c r="M140" s="26">
        <f>VLOOKUP(Mapping!$G140,_Plugs,16,FALSE)</f>
        <v>1</v>
      </c>
      <c r="N140" s="135">
        <v>7</v>
      </c>
      <c r="O140" s="235">
        <f>VLOOKUP(Mapping!$I140,_ECB_CS,2,FALSE)</f>
        <v>1000</v>
      </c>
      <c r="P140" s="235">
        <f>VLOOKUP(Mapping!$J140,_ACM05,3,FALSE)</f>
        <v>275</v>
      </c>
      <c r="Q140" s="235">
        <f>VLOOKUP(Mapping!$J140,_ACM05,4,FALSE)</f>
        <v>475</v>
      </c>
      <c r="R140" s="172">
        <f>VLOOKUP(Mapping!$F140,_SSPC_90.1,5,FALSE)</f>
        <v>0</v>
      </c>
      <c r="S140" s="172">
        <f>VLOOKUP(Mapping!$F140,_SSPC_90.1,6,FALSE)</f>
        <v>275</v>
      </c>
      <c r="T140" s="172">
        <f>VLOOKUP(Mapping!$F140,_SSPC_90.1,7,FALSE)</f>
        <v>475</v>
      </c>
      <c r="U140" s="26">
        <f>VLOOKUP(Mapping!$F140,_SSPC_90.1,4,FALSE)</f>
        <v>0.06</v>
      </c>
      <c r="V140" s="231">
        <f>VLOOKUP(Mapping!$I140,_ECB_CS,5,FALSE)</f>
        <v>0.05</v>
      </c>
      <c r="W140" s="135">
        <f>VLOOKUP(Mapping!$J140,_ACM05,6,FALSE)</f>
        <v>120</v>
      </c>
      <c r="X140" s="172">
        <f>VLOOKUP(Mapping!$I140,_ECB_CS,4,FALSE)</f>
        <v>225</v>
      </c>
      <c r="Y140" s="26">
        <f>VLOOKUP(Mapping!$H140,_CEUS,2,FALSE)</f>
        <v>0</v>
      </c>
      <c r="Z140" s="26">
        <f>VLOOKUP(Mapping!$H140,_CEUS,3,FALSE)</f>
        <v>3.1963470319634701E-2</v>
      </c>
      <c r="AA140" s="32" t="s">
        <v>51</v>
      </c>
      <c r="AB140" s="177" t="s">
        <v>263</v>
      </c>
      <c r="AD140" s="194" t="str">
        <f t="shared" si="8"/>
        <v>L</v>
      </c>
      <c r="AE140" s="176" t="str">
        <f t="shared" si="9"/>
        <v>Warehouse</v>
      </c>
    </row>
    <row r="141" spans="1:31">
      <c r="A141" t="s">
        <v>370</v>
      </c>
      <c r="B141" s="26">
        <f>VLOOKUP(Mapping!$E141,_90_1_2001,2,FALSE)</f>
        <v>1.6</v>
      </c>
      <c r="C141" s="26">
        <f>VLOOKUP(Mapping!$D141,_90_1_2007,2,FALSE)</f>
        <v>1.4</v>
      </c>
      <c r="D141" s="26">
        <f>VLOOKUP(Mapping!$C141,_90_1_2010,2,FALSE)</f>
        <v>0.95</v>
      </c>
      <c r="E141" s="26">
        <f>VLOOKUP(Mapping!$C141,_90_1_2010,3,FALSE)</f>
        <v>6</v>
      </c>
      <c r="F141" s="26">
        <f>VLOOKUP(Mapping!$B141,_90_1_2016BM,2,FALSE)</f>
        <v>1.4</v>
      </c>
      <c r="G141" s="134">
        <v>1</v>
      </c>
      <c r="H141" s="169">
        <f>VLOOKUP(Mapping!$B141,_90_1_2016BM,3,FALSE)</f>
        <v>0.15</v>
      </c>
      <c r="I141" s="26">
        <f>VLOOKUP(Mapping!G141,_Plugs,13,FALSE)</f>
        <v>0.31394912262618863</v>
      </c>
      <c r="J141" s="231">
        <f>VLOOKUP(Mapping!$F141,_SSPC_90.1,3,FALSE)</f>
        <v>0.24</v>
      </c>
      <c r="K141" s="26">
        <f>VLOOKUP(Mapping!$G141,_Plugs,14,FALSE)</f>
        <v>2</v>
      </c>
      <c r="L141" s="26">
        <f>VLOOKUP(Mapping!$G141,_Plugs,15,FALSE)</f>
        <v>0.18587360594795541</v>
      </c>
      <c r="M141" s="26">
        <f>VLOOKUP(Mapping!$G141,_Plugs,16,FALSE)</f>
        <v>1</v>
      </c>
      <c r="N141" s="135">
        <v>7</v>
      </c>
      <c r="O141" s="235">
        <f>VLOOKUP(Mapping!$I141,_ECB_CS,2,FALSE)</f>
        <v>500</v>
      </c>
      <c r="P141" s="235">
        <f>VLOOKUP(Mapping!$J141,_ACM05,3,FALSE)</f>
        <v>275</v>
      </c>
      <c r="Q141" s="235">
        <f>VLOOKUP(Mapping!$J141,_ACM05,4,FALSE)</f>
        <v>475</v>
      </c>
      <c r="R141" s="172">
        <f>VLOOKUP(Mapping!$F141,_SSPC_90.1,5,FALSE)</f>
        <v>0</v>
      </c>
      <c r="S141" s="172">
        <f>VLOOKUP(Mapping!$F141,_SSPC_90.1,6,FALSE)</f>
        <v>275</v>
      </c>
      <c r="T141" s="172">
        <f>VLOOKUP(Mapping!$F141,_SSPC_90.1,7,FALSE)</f>
        <v>475</v>
      </c>
      <c r="U141" s="26">
        <f>VLOOKUP(Mapping!$F141,_SSPC_90.1,4,FALSE)</f>
        <v>0.06</v>
      </c>
      <c r="V141" s="231">
        <f>VLOOKUP(Mapping!$I141,_ECB_CS,5,FALSE)</f>
        <v>0.05</v>
      </c>
      <c r="W141" s="135">
        <f>VLOOKUP(Mapping!$J141,_ACM05,6,FALSE)</f>
        <v>120</v>
      </c>
      <c r="X141" s="172">
        <f>VLOOKUP(Mapping!$I141,_ECB_CS,4,FALSE)</f>
        <v>225</v>
      </c>
      <c r="Y141" s="26">
        <f>VLOOKUP(Mapping!$H141,_CEUS,2,FALSE)</f>
        <v>0</v>
      </c>
      <c r="Z141" s="26">
        <f>VLOOKUP(Mapping!$H141,_CEUS,3,FALSE)</f>
        <v>3.1963470319634701E-2</v>
      </c>
      <c r="AA141" s="32" t="s">
        <v>51</v>
      </c>
      <c r="AB141" s="177" t="s">
        <v>263</v>
      </c>
      <c r="AD141" s="194" t="str">
        <f t="shared" si="8"/>
        <v>L</v>
      </c>
      <c r="AE141" s="176" t="str">
        <f t="shared" si="9"/>
        <v>Warehouse</v>
      </c>
    </row>
    <row r="142" spans="1:31">
      <c r="B142" s="26"/>
      <c r="C142" s="26"/>
      <c r="D142" s="26"/>
      <c r="E142" s="26"/>
      <c r="F142" s="26"/>
    </row>
    <row r="143" spans="1:31">
      <c r="A143" t="s">
        <v>371</v>
      </c>
      <c r="AB143" s="206"/>
    </row>
  </sheetData>
  <sheetProtection password="A9BB" sheet="1" objects="1" scenarios="1"/>
  <mergeCells count="14">
    <mergeCell ref="B2:F2"/>
    <mergeCell ref="B1:F1"/>
    <mergeCell ref="I2:M2"/>
    <mergeCell ref="V1:V2"/>
    <mergeCell ref="I1:M1"/>
    <mergeCell ref="Y2:Y3"/>
    <mergeCell ref="Z2:Z3"/>
    <mergeCell ref="N1:Q1"/>
    <mergeCell ref="Y1:Z1"/>
    <mergeCell ref="H1:H2"/>
    <mergeCell ref="R2:T2"/>
    <mergeCell ref="R1:T1"/>
    <mergeCell ref="O2:Q2"/>
    <mergeCell ref="U1:U2"/>
  </mergeCells>
  <dataValidations disablePrompts="1" count="1">
    <dataValidation type="list" allowBlank="1" showInputMessage="1" showErrorMessage="1" sqref="AB39:AB141" xr:uid="{00000000-0002-0000-0100-000000000000}">
      <formula1>$D$4:$D$18</formula1>
    </dataValidation>
  </dataValidations>
  <pageMargins left="0.25" right="0.25" top="0.75" bottom="0.75" header="0.3" footer="0.3"/>
  <pageSetup scale="44" fitToHeight="0" orientation="landscape" horizontalDpi="1200" verticalDpi="1200" r:id="rId1"/>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100-000001000000}">
          <x14:formula1>
            <xm:f>OtherLists!$B$4:$B$18</xm:f>
          </x14:formula1>
          <xm:sqref>AB5:AB37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V143"/>
  <sheetViews>
    <sheetView workbookViewId="0">
      <selection activeCell="D2" sqref="D2"/>
    </sheetView>
  </sheetViews>
  <sheetFormatPr defaultRowHeight="12.75"/>
  <cols>
    <col min="1" max="1" width="50.85546875" customWidth="1"/>
    <col min="2" max="2" width="8.85546875" style="13" hidden="1" customWidth="1"/>
    <col min="3" max="3" width="11.85546875" style="167" customWidth="1"/>
    <col min="4" max="4" width="11.140625" style="4" customWidth="1"/>
    <col min="5" max="5" width="11.140625" style="8" hidden="1" customWidth="1"/>
    <col min="6" max="8" width="9.7109375" style="13" customWidth="1"/>
    <col min="9" max="9" width="11.140625" style="4" customWidth="1"/>
    <col min="10" max="10" width="11.140625" style="8" hidden="1" customWidth="1"/>
    <col min="11" max="11" width="11.140625" style="13" customWidth="1"/>
    <col min="12" max="13" width="11.140625" style="4" customWidth="1"/>
    <col min="14" max="14" width="18.85546875" style="11" hidden="1" customWidth="1"/>
    <col min="15" max="15" width="24.140625" style="176" customWidth="1"/>
    <col min="16" max="16" width="0.140625" style="176" customWidth="1"/>
    <col min="17" max="17" width="96.42578125" style="176" hidden="1" customWidth="1"/>
  </cols>
  <sheetData>
    <row r="1" spans="1:22" ht="25.5">
      <c r="B1" s="164">
        <f>'Modeling Data'!G1</f>
        <v>0</v>
      </c>
      <c r="C1" s="254" t="str">
        <f>'Modeling Data'!H1</f>
        <v>Automatic Lighting Controls</v>
      </c>
      <c r="D1" s="238" t="str">
        <f>'Modeling Data'!I1</f>
        <v>Plug Loads</v>
      </c>
      <c r="E1" s="237" t="str">
        <f>'Modeling Data'!N1</f>
        <v>Occupancy</v>
      </c>
      <c r="F1" s="254" t="str">
        <f>'Modeling Data'!R1</f>
        <v>Occupancy</v>
      </c>
      <c r="G1" s="257">
        <f>'Modeling Data'!S1</f>
        <v>0</v>
      </c>
      <c r="H1" s="257">
        <f>'Modeling Data'!T1</f>
        <v>0</v>
      </c>
      <c r="I1" s="260" t="str">
        <f>'Modeling Data'!U1</f>
        <v>Ventilation Rate</v>
      </c>
      <c r="J1" s="156">
        <f>'Modeling Data'!W1</f>
        <v>0</v>
      </c>
      <c r="K1" s="174" t="str">
        <f>'Modeling Data'!X1</f>
        <v>Water Heating</v>
      </c>
      <c r="L1" s="253" t="str">
        <f>'Modeling Data'!Y1</f>
        <v>Process</v>
      </c>
      <c r="M1" s="253">
        <f>'Modeling Data'!Z1</f>
        <v>0</v>
      </c>
      <c r="N1" s="265" t="s">
        <v>204</v>
      </c>
      <c r="O1" s="265" t="str">
        <f>'Modeling Data'!AB1</f>
        <v>Schedules</v>
      </c>
      <c r="P1" s="304">
        <f>'Modeling Data'!AC1</f>
        <v>0</v>
      </c>
      <c r="Q1" s="206"/>
    </row>
    <row r="2" spans="1:22" s="1" customFormat="1" ht="25.5" customHeight="1">
      <c r="B2" s="58">
        <f>'Modeling Data'!G2</f>
        <v>0</v>
      </c>
      <c r="C2" s="255">
        <f>'Modeling Data'!H2</f>
        <v>0</v>
      </c>
      <c r="D2" s="3"/>
      <c r="E2" s="173" t="str">
        <f>'Modeling Data'!N2</f>
        <v>Heat Gain per Occupant (Btu/occ)</v>
      </c>
      <c r="F2" s="256" t="str">
        <f>'Modeling Data'!R2</f>
        <v>Occupant Heat Gain</v>
      </c>
      <c r="G2" s="255">
        <f>'Modeling Data'!S2</f>
        <v>0</v>
      </c>
      <c r="H2" s="255">
        <f>'Modeling Data'!T2</f>
        <v>0</v>
      </c>
      <c r="I2" s="261">
        <f>'Modeling Data'!U2</f>
        <v>0</v>
      </c>
      <c r="J2" s="157" t="str">
        <f>'Modeling Data'!W2</f>
        <v>California ACM 2005</v>
      </c>
      <c r="K2" s="170"/>
      <c r="L2" s="250" t="str">
        <f>'Modeling Data'!Y2</f>
        <v>Interior Gas Appliance Power Density      (Btu/h-ft²)</v>
      </c>
      <c r="M2" s="250" t="str">
        <f>'Modeling Data'!Z2</f>
        <v xml:space="preserve">Refrigeration Power Density (W/ft²) </v>
      </c>
      <c r="N2" s="9">
        <f>'Modeling Data'!AA2</f>
        <v>0</v>
      </c>
      <c r="O2" s="175"/>
      <c r="P2" s="175"/>
      <c r="Q2" s="175"/>
    </row>
    <row r="3" spans="1:22" s="1" customFormat="1" ht="66" customHeight="1">
      <c r="B3" s="12" t="str">
        <f>'Modeling Data'!G3</f>
        <v>California 2005 ACM</v>
      </c>
      <c r="C3" s="168" t="str">
        <f>'Modeling Data'!H3</f>
        <v>Occupant Sensor Power Adjustment Factors</v>
      </c>
      <c r="D3" s="158" t="str">
        <f>'Modeling Data'!I3</f>
        <v>Default  Power Density (W/ft²)</v>
      </c>
      <c r="E3" s="5" t="str">
        <f>'Modeling Data'!N3</f>
        <v xml:space="preserve">California 2005 ACM </v>
      </c>
      <c r="F3" s="12" t="str">
        <f>'Modeling Data'!R3</f>
        <v>Default Occupant Density (ft²/person)</v>
      </c>
      <c r="G3" s="159" t="str">
        <f>'Modeling Data'!S3</f>
        <v>Sensible Heat Gain (Btu/h-person)</v>
      </c>
      <c r="H3" s="159" t="str">
        <f>'Modeling Data'!T3</f>
        <v>Latent Heat Gain  (Btu/h-person)</v>
      </c>
      <c r="I3" s="158" t="str">
        <f>'Modeling Data'!U3</f>
        <v>Ventilation Rate (Revised) (cfm/ft²)</v>
      </c>
      <c r="J3" s="158" t="str">
        <f>'Modeling Data'!W3</f>
        <v>Load (Btu/h-occ)</v>
      </c>
      <c r="K3" s="159" t="str">
        <f>'Modeling Data'!X3</f>
        <v>Load (Btu/h-occ)</v>
      </c>
      <c r="L3" s="251">
        <f>'Modeling Data'!Y3</f>
        <v>0</v>
      </c>
      <c r="M3" s="251">
        <f>'Modeling Data'!Z3</f>
        <v>0</v>
      </c>
      <c r="N3" s="132" t="str">
        <f>'Modeling Data'!AA3</f>
        <v>California 2005 Schedule</v>
      </c>
      <c r="O3" s="188" t="str">
        <f>'Modeling Data'!AB3</f>
        <v>Schedule from Appendix C</v>
      </c>
      <c r="P3" s="175">
        <f>'Modeling Data'!AC3</f>
        <v>0</v>
      </c>
      <c r="Q3" s="211" t="str">
        <f>'Modeling Data'!AE3</f>
        <v>Description</v>
      </c>
    </row>
    <row r="4" spans="1:22" s="16" customFormat="1">
      <c r="A4" s="17" t="str">
        <f>'Modeling Data'!A4</f>
        <v>Whole Building Categories</v>
      </c>
      <c r="B4" s="14">
        <f>'Modeling Data'!G4</f>
        <v>0</v>
      </c>
      <c r="C4" s="165">
        <f>'Modeling Data'!H4</f>
        <v>0</v>
      </c>
      <c r="D4" s="14">
        <f>'Modeling Data'!I4</f>
        <v>0</v>
      </c>
      <c r="E4" s="15">
        <f>'Modeling Data'!N4</f>
        <v>0</v>
      </c>
      <c r="F4" s="14">
        <f>'Modeling Data'!R4</f>
        <v>0</v>
      </c>
      <c r="G4" s="14">
        <f>'Modeling Data'!S4</f>
        <v>0</v>
      </c>
      <c r="H4" s="14">
        <f>'Modeling Data'!T4</f>
        <v>0</v>
      </c>
      <c r="I4" s="14">
        <f>'Modeling Data'!U4</f>
        <v>0</v>
      </c>
      <c r="J4" s="15">
        <f>'Modeling Data'!W4</f>
        <v>0</v>
      </c>
      <c r="K4" s="14">
        <f>'Modeling Data'!X4</f>
        <v>0</v>
      </c>
      <c r="L4" s="14">
        <f>'Modeling Data'!Y4</f>
        <v>0</v>
      </c>
      <c r="M4" s="14">
        <f>'Modeling Data'!Z4</f>
        <v>0</v>
      </c>
      <c r="N4" s="16">
        <f>'Modeling Data'!AA4</f>
        <v>0</v>
      </c>
      <c r="O4" s="16">
        <f>'Modeling Data'!AB4</f>
        <v>0</v>
      </c>
      <c r="P4" s="16">
        <f>'Modeling Data'!AC4</f>
        <v>0</v>
      </c>
      <c r="Q4" s="16">
        <f>'Modeling Data'!AE4</f>
        <v>0</v>
      </c>
    </row>
    <row r="5" spans="1:22">
      <c r="A5" t="str">
        <f>'Modeling Data'!A5</f>
        <v>BA Automotive Facility</v>
      </c>
      <c r="B5" s="134">
        <f>'Modeling Data'!G5</f>
        <v>1</v>
      </c>
      <c r="C5" s="169" t="str">
        <f>'Modeling Data'!H5</f>
        <v>n.a.</v>
      </c>
      <c r="D5" s="26">
        <f>'Modeling Data'!I5</f>
        <v>0.50325197968776458</v>
      </c>
      <c r="E5" s="135">
        <f>'Modeling Data'!N5</f>
        <v>100</v>
      </c>
      <c r="F5" s="172">
        <f>'Modeling Data'!R5</f>
        <v>143</v>
      </c>
      <c r="G5" s="172">
        <f>'Modeling Data'!S5</f>
        <v>375</v>
      </c>
      <c r="H5" s="172">
        <f>'Modeling Data'!T5</f>
        <v>625</v>
      </c>
      <c r="I5" s="26">
        <f>'Modeling Data'!U5</f>
        <v>0.25</v>
      </c>
      <c r="J5" s="135">
        <f>'Modeling Data'!W5</f>
        <v>120</v>
      </c>
      <c r="K5" s="172">
        <f>'Modeling Data'!X5</f>
        <v>300</v>
      </c>
      <c r="L5" s="26">
        <f>'Modeling Data'!Y5</f>
        <v>0.75342465753424659</v>
      </c>
      <c r="M5" s="26">
        <f>'Modeling Data'!Z5</f>
        <v>9.8173515981735154E-2</v>
      </c>
      <c r="N5" s="11" t="str">
        <f>'Modeling Data'!AA5</f>
        <v>Non-Residential</v>
      </c>
      <c r="O5" s="176" t="str">
        <f>'Modeling Data'!AB5</f>
        <v>C-4 Manufacturing</v>
      </c>
      <c r="P5" s="176">
        <f>'Modeling Data'!AC5</f>
        <v>0</v>
      </c>
      <c r="Q5" s="176" t="str">
        <f>'Modeling Data'!AE5</f>
        <v>Automotive facility, workshop, manufacturing facility</v>
      </c>
    </row>
    <row r="6" spans="1:22">
      <c r="A6" t="str">
        <f>'Modeling Data'!A6</f>
        <v>BA Convention Center</v>
      </c>
      <c r="B6" s="134">
        <f>'Modeling Data'!G6</f>
        <v>0.96</v>
      </c>
      <c r="C6" s="169" t="str">
        <f>'Modeling Data'!H6</f>
        <v>n.a.</v>
      </c>
      <c r="D6" s="26">
        <f>'Modeling Data'!I6</f>
        <v>0.74760799257268662</v>
      </c>
      <c r="E6" s="135">
        <f>'Modeling Data'!N6</f>
        <v>7.3529411764705879</v>
      </c>
      <c r="F6" s="172">
        <f>'Modeling Data'!R6</f>
        <v>20</v>
      </c>
      <c r="G6" s="172">
        <f>'Modeling Data'!S6</f>
        <v>250</v>
      </c>
      <c r="H6" s="172">
        <f>'Modeling Data'!T6</f>
        <v>200</v>
      </c>
      <c r="I6" s="26">
        <f>'Modeling Data'!U6</f>
        <v>0.31</v>
      </c>
      <c r="J6" s="135">
        <f>'Modeling Data'!W6</f>
        <v>57</v>
      </c>
      <c r="K6" s="172">
        <f>'Modeling Data'!X6</f>
        <v>215</v>
      </c>
      <c r="L6" s="26">
        <f>'Modeling Data'!Y6</f>
        <v>2.2831050228310501E-2</v>
      </c>
      <c r="M6" s="26">
        <f>'Modeling Data'!Z6</f>
        <v>6.6210045662100453E-2</v>
      </c>
      <c r="N6" s="11" t="str">
        <f>'Modeling Data'!AA6</f>
        <v>Non-Residential</v>
      </c>
      <c r="O6" s="176" t="str">
        <f>'Modeling Data'!AB6</f>
        <v>C-1 Assembly</v>
      </c>
      <c r="P6" s="176">
        <f>'Modeling Data'!AC6</f>
        <v>0</v>
      </c>
      <c r="Q6" s="176" t="str">
        <f>'Modeling Data'!AE6</f>
        <v>Convention center, exercise center, motion picture theature, performing arts theater, religious building, sports arena</v>
      </c>
    </row>
    <row r="7" spans="1:22">
      <c r="A7" t="str">
        <f>'Modeling Data'!A7</f>
        <v>BA Courthouse</v>
      </c>
      <c r="B7" s="134">
        <f>'Modeling Data'!G7</f>
        <v>0.96</v>
      </c>
      <c r="C7" s="169" t="str">
        <f>'Modeling Data'!H7</f>
        <v>n.a.</v>
      </c>
      <c r="D7" s="26">
        <f>'Modeling Data'!I7</f>
        <v>1.6689815831571153</v>
      </c>
      <c r="E7" s="135">
        <f>'Modeling Data'!N7</f>
        <v>7.3529411764705879</v>
      </c>
      <c r="F7" s="172">
        <f>'Modeling Data'!R7</f>
        <v>14</v>
      </c>
      <c r="G7" s="172">
        <f>'Modeling Data'!S7</f>
        <v>250</v>
      </c>
      <c r="H7" s="172">
        <f>'Modeling Data'!T7</f>
        <v>200</v>
      </c>
      <c r="I7" s="26">
        <f>'Modeling Data'!U7</f>
        <v>0.41</v>
      </c>
      <c r="J7" s="135">
        <f>'Modeling Data'!W7</f>
        <v>57</v>
      </c>
      <c r="K7" s="172">
        <f>'Modeling Data'!X7</f>
        <v>135</v>
      </c>
      <c r="L7" s="26">
        <f>'Modeling Data'!Y7</f>
        <v>0.17123287671232876</v>
      </c>
      <c r="M7" s="26">
        <f>'Modeling Data'!Z7</f>
        <v>4.6803652968036527E-2</v>
      </c>
      <c r="N7" s="11" t="str">
        <f>'Modeling Data'!AA7</f>
        <v>Non-Residential</v>
      </c>
      <c r="O7" s="176" t="str">
        <f>'Modeling Data'!AB7</f>
        <v>C-5 Office</v>
      </c>
      <c r="P7" s="176">
        <f>'Modeling Data'!AC7</f>
        <v>0</v>
      </c>
      <c r="Q7" s="176" t="str">
        <f>'Modeling Data'!AE7</f>
        <v>courthouse, office, post office, town hall</v>
      </c>
    </row>
    <row r="8" spans="1:22">
      <c r="A8" t="str">
        <f>'Modeling Data'!A8</f>
        <v>BA Dining: Bar Lounge/Leisure</v>
      </c>
      <c r="B8" s="134">
        <f>'Modeling Data'!G8</f>
        <v>0.79</v>
      </c>
      <c r="C8" s="169" t="str">
        <f>'Modeling Data'!H8</f>
        <v>n.a.</v>
      </c>
      <c r="D8" s="26">
        <f>'Modeling Data'!I8</f>
        <v>1.3160573887824656</v>
      </c>
      <c r="E8" s="135">
        <f>'Modeling Data'!N8</f>
        <v>22.222222222222221</v>
      </c>
      <c r="F8" s="172">
        <f>'Modeling Data'!R8</f>
        <v>10</v>
      </c>
      <c r="G8" s="172">
        <f>'Modeling Data'!S8</f>
        <v>275</v>
      </c>
      <c r="H8" s="172">
        <f>'Modeling Data'!T8</f>
        <v>275</v>
      </c>
      <c r="I8" s="26">
        <f>'Modeling Data'!U8</f>
        <v>0.93</v>
      </c>
      <c r="J8" s="135">
        <f>'Modeling Data'!W8</f>
        <v>366</v>
      </c>
      <c r="K8" s="172">
        <f>'Modeling Data'!X8</f>
        <v>390</v>
      </c>
      <c r="L8" s="26">
        <f>'Modeling Data'!Y8</f>
        <v>17.534246575342468</v>
      </c>
      <c r="M8" s="26">
        <f>'Modeling Data'!Z8</f>
        <v>1.1267123287671232</v>
      </c>
      <c r="N8" s="11" t="str">
        <f>'Modeling Data'!AA8</f>
        <v>Non-Residential</v>
      </c>
      <c r="O8" s="176" t="str">
        <f>'Modeling Data'!AB8</f>
        <v>C-7 Restaurant</v>
      </c>
      <c r="P8" s="176">
        <f>'Modeling Data'!AC8</f>
        <v>0</v>
      </c>
      <c r="Q8" s="176" t="str">
        <f>'Modeling Data'!AE8</f>
        <v>Cafeteria, fast food, family dining, bar, lounge</v>
      </c>
    </row>
    <row r="9" spans="1:22">
      <c r="A9" t="str">
        <f>'Modeling Data'!A9</f>
        <v>BA Dining: Cafeteria/Fast Food</v>
      </c>
      <c r="B9" s="134">
        <f>'Modeling Data'!G9</f>
        <v>0.79</v>
      </c>
      <c r="C9" s="169" t="str">
        <f>'Modeling Data'!H9</f>
        <v>n.a.</v>
      </c>
      <c r="D9" s="26">
        <f>'Modeling Data'!I9</f>
        <v>1.3683549857758452</v>
      </c>
      <c r="E9" s="135">
        <f>'Modeling Data'!N9</f>
        <v>22.222222222222221</v>
      </c>
      <c r="F9" s="172">
        <f>'Modeling Data'!R9</f>
        <v>10</v>
      </c>
      <c r="G9" s="172">
        <f>'Modeling Data'!S9</f>
        <v>275</v>
      </c>
      <c r="H9" s="172">
        <f>'Modeling Data'!T9</f>
        <v>275</v>
      </c>
      <c r="I9" s="26">
        <f>'Modeling Data'!U9</f>
        <v>0.93</v>
      </c>
      <c r="J9" s="135">
        <f>'Modeling Data'!W9</f>
        <v>366</v>
      </c>
      <c r="K9" s="172">
        <f>'Modeling Data'!X9</f>
        <v>390</v>
      </c>
      <c r="L9" s="26">
        <f>'Modeling Data'!Y9</f>
        <v>17.534246575342468</v>
      </c>
      <c r="M9" s="26">
        <f>'Modeling Data'!Z9</f>
        <v>1.1267123287671232</v>
      </c>
      <c r="N9" s="11" t="str">
        <f>'Modeling Data'!AA9</f>
        <v>Non-Residential</v>
      </c>
      <c r="O9" s="176" t="str">
        <f>'Modeling Data'!AB9</f>
        <v>C-7 Restaurant</v>
      </c>
      <c r="P9" s="176">
        <f>'Modeling Data'!AC9</f>
        <v>0</v>
      </c>
      <c r="Q9" s="176" t="str">
        <f>'Modeling Data'!AE9</f>
        <v>Cafeteria, fast food, family dining, bar, lounge</v>
      </c>
    </row>
    <row r="10" spans="1:22">
      <c r="A10" t="str">
        <f>'Modeling Data'!A10</f>
        <v>BA Dining: Family</v>
      </c>
      <c r="B10" s="134">
        <f>'Modeling Data'!G10</f>
        <v>0.79</v>
      </c>
      <c r="C10" s="169" t="str">
        <f>'Modeling Data'!H10</f>
        <v>n.a.</v>
      </c>
      <c r="D10" s="26">
        <f>'Modeling Data'!I10</f>
        <v>1.2629966462352749</v>
      </c>
      <c r="E10" s="135">
        <f>'Modeling Data'!N10</f>
        <v>22.222222222222221</v>
      </c>
      <c r="F10" s="172">
        <f>'Modeling Data'!R10</f>
        <v>14</v>
      </c>
      <c r="G10" s="172">
        <f>'Modeling Data'!S10</f>
        <v>275</v>
      </c>
      <c r="H10" s="172">
        <f>'Modeling Data'!T10</f>
        <v>275</v>
      </c>
      <c r="I10" s="26">
        <f>'Modeling Data'!U10</f>
        <v>0.71</v>
      </c>
      <c r="J10" s="135">
        <f>'Modeling Data'!W10</f>
        <v>366</v>
      </c>
      <c r="K10" s="172">
        <f>'Modeling Data'!X10</f>
        <v>390</v>
      </c>
      <c r="L10" s="26">
        <f>'Modeling Data'!Y10</f>
        <v>17.534246575342468</v>
      </c>
      <c r="M10" s="26">
        <f>'Modeling Data'!Z10</f>
        <v>1.1267123287671232</v>
      </c>
      <c r="N10" s="11" t="str">
        <f>'Modeling Data'!AA10</f>
        <v>Non-Residential</v>
      </c>
      <c r="O10" s="176" t="str">
        <f>'Modeling Data'!AB10</f>
        <v>C-7 Restaurant</v>
      </c>
      <c r="P10" s="176">
        <f>'Modeling Data'!AC10</f>
        <v>0</v>
      </c>
      <c r="Q10" s="176" t="str">
        <f>'Modeling Data'!AE10</f>
        <v>Cafeteria, fast food, family dining, bar, lounge</v>
      </c>
      <c r="U10" s="27"/>
      <c r="V10" s="27"/>
    </row>
    <row r="11" spans="1:22">
      <c r="A11" t="str">
        <f>'Modeling Data'!A11</f>
        <v>BA Dormitory</v>
      </c>
      <c r="B11" s="134">
        <f>'Modeling Data'!G11</f>
        <v>0.5</v>
      </c>
      <c r="C11" s="169" t="str">
        <f>'Modeling Data'!H11</f>
        <v>n.a.</v>
      </c>
      <c r="D11" s="26">
        <f>'Modeling Data'!I11</f>
        <v>1.9561272315249876</v>
      </c>
      <c r="E11" s="135">
        <f>'Modeling Data'!N11</f>
        <v>200</v>
      </c>
      <c r="F11" s="172">
        <f>'Modeling Data'!R11</f>
        <v>100</v>
      </c>
      <c r="G11" s="172">
        <f>'Modeling Data'!S11</f>
        <v>250</v>
      </c>
      <c r="H11" s="172">
        <f>'Modeling Data'!T11</f>
        <v>200</v>
      </c>
      <c r="I11" s="26">
        <f>'Modeling Data'!U11</f>
        <v>0.11</v>
      </c>
      <c r="J11" s="135">
        <f>'Modeling Data'!W11</f>
        <v>2800</v>
      </c>
      <c r="K11" s="172">
        <f>'Modeling Data'!X11</f>
        <v>1700</v>
      </c>
      <c r="L11" s="26">
        <f>'Modeling Data'!Y11</f>
        <v>0.69634703196347048</v>
      </c>
      <c r="M11" s="26">
        <f>'Modeling Data'!Z11</f>
        <v>0.10273972602739725</v>
      </c>
      <c r="N11" s="11" t="str">
        <f>'Modeling Data'!AA11</f>
        <v>Residential</v>
      </c>
      <c r="O11" s="176" t="str">
        <f>'Modeling Data'!AB11</f>
        <v>C-12 Residential</v>
      </c>
      <c r="P11" s="176">
        <f>'Modeling Data'!AC11</f>
        <v>0</v>
      </c>
      <c r="Q11" s="176" t="str">
        <f>'Modeling Data'!AE11</f>
        <v>Dormatory, multifamily</v>
      </c>
      <c r="U11" s="27"/>
      <c r="V11" s="27"/>
    </row>
    <row r="12" spans="1:22">
      <c r="A12" t="str">
        <f>'Modeling Data'!A12</f>
        <v>BA Exercise Center</v>
      </c>
      <c r="B12" s="134">
        <f>'Modeling Data'!G12</f>
        <v>1</v>
      </c>
      <c r="C12" s="169" t="str">
        <f>'Modeling Data'!H12</f>
        <v>n.a.</v>
      </c>
      <c r="D12" s="26">
        <f>'Modeling Data'!I12</f>
        <v>0.67424666522690402</v>
      </c>
      <c r="E12" s="135">
        <f>'Modeling Data'!N12</f>
        <v>100</v>
      </c>
      <c r="F12" s="172">
        <f>'Modeling Data'!R12</f>
        <v>100</v>
      </c>
      <c r="G12" s="172">
        <f>'Modeling Data'!S12</f>
        <v>710</v>
      </c>
      <c r="H12" s="172">
        <f>'Modeling Data'!T12</f>
        <v>1090</v>
      </c>
      <c r="I12" s="26">
        <f>'Modeling Data'!U12</f>
        <v>0.26</v>
      </c>
      <c r="J12" s="135">
        <f>'Modeling Data'!W12</f>
        <v>120</v>
      </c>
      <c r="K12" s="172">
        <f>'Modeling Data'!X12</f>
        <v>135</v>
      </c>
      <c r="L12" s="26">
        <f>'Modeling Data'!Y12</f>
        <v>2.2831050228310501E-2</v>
      </c>
      <c r="M12" s="26">
        <f>'Modeling Data'!Z12</f>
        <v>6.6210045662100453E-2</v>
      </c>
      <c r="N12" s="11" t="str">
        <f>'Modeling Data'!AA12</f>
        <v>Non-Residential</v>
      </c>
      <c r="O12" s="176" t="str">
        <f>'Modeling Data'!AB12</f>
        <v>C-1 Assembly</v>
      </c>
      <c r="P12" s="176">
        <f>'Modeling Data'!AC12</f>
        <v>0</v>
      </c>
      <c r="Q12" s="176" t="str">
        <f>'Modeling Data'!AE12</f>
        <v>Convention center, exercise center, motion picture theature, performing arts theater, religious building, sports arena</v>
      </c>
      <c r="U12" s="27"/>
      <c r="V12" s="27"/>
    </row>
    <row r="13" spans="1:22">
      <c r="A13" t="str">
        <f>'Modeling Data'!A13</f>
        <v>BA Fire Station</v>
      </c>
      <c r="B13" s="134">
        <f>'Modeling Data'!G13</f>
        <v>1.5</v>
      </c>
      <c r="C13" s="169" t="str">
        <f>'Modeling Data'!H13</f>
        <v>n.a.</v>
      </c>
      <c r="D13" s="26">
        <f>'Modeling Data'!I13</f>
        <v>1.5403580152290588</v>
      </c>
      <c r="E13" s="135">
        <f>'Modeling Data'!N13</f>
        <v>100</v>
      </c>
      <c r="F13" s="172">
        <f>'Modeling Data'!R13</f>
        <v>33</v>
      </c>
      <c r="G13" s="172">
        <f>'Modeling Data'!S13</f>
        <v>250</v>
      </c>
      <c r="H13" s="172">
        <f>'Modeling Data'!T13</f>
        <v>200</v>
      </c>
      <c r="I13" s="26">
        <f>'Modeling Data'!U13</f>
        <v>0.21</v>
      </c>
      <c r="J13" s="135">
        <f>'Modeling Data'!W13</f>
        <v>120</v>
      </c>
      <c r="K13" s="172">
        <f>'Modeling Data'!X13</f>
        <v>300</v>
      </c>
      <c r="L13" s="26">
        <f>'Modeling Data'!Y13</f>
        <v>0.75342465753424659</v>
      </c>
      <c r="M13" s="26">
        <f>'Modeling Data'!Z13</f>
        <v>9.8173515981735154E-2</v>
      </c>
      <c r="N13" s="32" t="str">
        <f>'Modeling Data'!AA13</f>
        <v xml:space="preserve">Non-Residential </v>
      </c>
      <c r="O13" s="176" t="str">
        <f>'Modeling Data'!AB13</f>
        <v>C-2 Public</v>
      </c>
      <c r="P13" s="176">
        <f>'Modeling Data'!AC13</f>
        <v>0</v>
      </c>
      <c r="Q13" s="176" t="str">
        <f>'Modeling Data'!AE13</f>
        <v>Fire station, clinic, hospital, police station, transportation</v>
      </c>
      <c r="U13" s="27"/>
      <c r="V13" s="27"/>
    </row>
    <row r="14" spans="1:22">
      <c r="A14" t="str">
        <f>'Modeling Data'!A14</f>
        <v>BA Gymnasium</v>
      </c>
      <c r="B14" s="134">
        <f>'Modeling Data'!G14</f>
        <v>0.5</v>
      </c>
      <c r="C14" s="169" t="str">
        <f>'Modeling Data'!H14</f>
        <v>n.a.</v>
      </c>
      <c r="D14" s="26">
        <f>'Modeling Data'!I14</f>
        <v>0.67424666522690402</v>
      </c>
      <c r="E14" s="135">
        <f>'Modeling Data'!N14</f>
        <v>50</v>
      </c>
      <c r="F14" s="172">
        <f>'Modeling Data'!R14</f>
        <v>33</v>
      </c>
      <c r="G14" s="172">
        <f>'Modeling Data'!S14</f>
        <v>710</v>
      </c>
      <c r="H14" s="172">
        <f>'Modeling Data'!T14</f>
        <v>1090</v>
      </c>
      <c r="I14" s="26">
        <f>'Modeling Data'!U14</f>
        <v>0.3</v>
      </c>
      <c r="J14" s="135">
        <f>'Modeling Data'!W14</f>
        <v>120</v>
      </c>
      <c r="K14" s="172">
        <f>'Modeling Data'!X14</f>
        <v>135</v>
      </c>
      <c r="L14" s="26">
        <f>'Modeling Data'!Y14</f>
        <v>2.2831050228310501E-2</v>
      </c>
      <c r="M14" s="26">
        <f>'Modeling Data'!Z14</f>
        <v>6.6210045662100453E-2</v>
      </c>
      <c r="N14" s="11" t="str">
        <f>'Modeling Data'!AA14</f>
        <v>Non-Residential</v>
      </c>
      <c r="O14" s="176" t="str">
        <f>'Modeling Data'!AB14</f>
        <v>C-14 Gymnasium</v>
      </c>
      <c r="P14" s="176">
        <f>'Modeling Data'!AC14</f>
        <v>0</v>
      </c>
      <c r="Q14" s="176" t="str">
        <f>'Modeling Data'!AE14</f>
        <v>Gymnasium</v>
      </c>
      <c r="U14" s="27"/>
      <c r="V14" s="27"/>
    </row>
    <row r="15" spans="1:22">
      <c r="A15" t="str">
        <f>'Modeling Data'!A15</f>
        <v>BA Healthcare Clinic</v>
      </c>
      <c r="B15" s="134">
        <f>'Modeling Data'!G15</f>
        <v>1.18</v>
      </c>
      <c r="C15" s="169" t="str">
        <f>'Modeling Data'!H15</f>
        <v>n.a.</v>
      </c>
      <c r="D15" s="26">
        <f>'Modeling Data'!I15</f>
        <v>1.2201659385238521</v>
      </c>
      <c r="E15" s="135">
        <f>'Modeling Data'!N15</f>
        <v>100</v>
      </c>
      <c r="F15" s="172">
        <f>'Modeling Data'!R15</f>
        <v>200</v>
      </c>
      <c r="G15" s="172">
        <f>'Modeling Data'!S15</f>
        <v>250</v>
      </c>
      <c r="H15" s="172">
        <f>'Modeling Data'!T15</f>
        <v>200</v>
      </c>
      <c r="I15" s="26">
        <f>'Modeling Data'!U15</f>
        <v>0.47</v>
      </c>
      <c r="J15" s="135">
        <f>'Modeling Data'!W15</f>
        <v>110</v>
      </c>
      <c r="K15" s="172">
        <f>'Modeling Data'!X15</f>
        <v>135</v>
      </c>
      <c r="L15" s="26">
        <f>'Modeling Data'!Y15</f>
        <v>1.1301369863013697</v>
      </c>
      <c r="M15" s="26">
        <f>'Modeling Data'!Z15</f>
        <v>8.1050228310502279E-2</v>
      </c>
      <c r="N15" s="11" t="str">
        <f>'Modeling Data'!AA15</f>
        <v>Non-Residential</v>
      </c>
      <c r="O15" s="176" t="str">
        <f>'Modeling Data'!AB15</f>
        <v>C-2 Public</v>
      </c>
      <c r="P15" s="176">
        <f>'Modeling Data'!AC15</f>
        <v>0</v>
      </c>
      <c r="Q15" s="176" t="str">
        <f>'Modeling Data'!AE15</f>
        <v>Fire station, clinic, hospital, police station, transportation</v>
      </c>
      <c r="U15" s="27"/>
      <c r="V15" s="27"/>
    </row>
    <row r="16" spans="1:22">
      <c r="A16" t="str">
        <f>'Modeling Data'!A16</f>
        <v>BA Hospital</v>
      </c>
      <c r="B16" s="134">
        <f>'Modeling Data'!G16</f>
        <v>1.18</v>
      </c>
      <c r="C16" s="169" t="str">
        <f>'Modeling Data'!H16</f>
        <v>n.a.</v>
      </c>
      <c r="D16" s="26">
        <f>'Modeling Data'!I16</f>
        <v>1.2488271893219809</v>
      </c>
      <c r="E16" s="135">
        <f>'Modeling Data'!N16</f>
        <v>100</v>
      </c>
      <c r="F16" s="172">
        <f>'Modeling Data'!R16</f>
        <v>200</v>
      </c>
      <c r="G16" s="172">
        <f>'Modeling Data'!S16</f>
        <v>250</v>
      </c>
      <c r="H16" s="172">
        <f>'Modeling Data'!T16</f>
        <v>200</v>
      </c>
      <c r="I16" s="26">
        <f>'Modeling Data'!U16</f>
        <v>0.47</v>
      </c>
      <c r="J16" s="135">
        <f>'Modeling Data'!W16</f>
        <v>110</v>
      </c>
      <c r="K16" s="172">
        <f>'Modeling Data'!X16</f>
        <v>135</v>
      </c>
      <c r="L16" s="26">
        <f>'Modeling Data'!Y16</f>
        <v>1.1301369863013697</v>
      </c>
      <c r="M16" s="26">
        <f>'Modeling Data'!Z16</f>
        <v>8.1050228310502279E-2</v>
      </c>
      <c r="N16" s="11" t="str">
        <f>'Modeling Data'!AA16</f>
        <v>Non-Residential</v>
      </c>
      <c r="O16" s="176" t="str">
        <f>'Modeling Data'!AB16</f>
        <v>C-2 Public</v>
      </c>
      <c r="P16" s="176">
        <f>'Modeling Data'!AC16</f>
        <v>0</v>
      </c>
      <c r="Q16" s="176" t="str">
        <f>'Modeling Data'!AE16</f>
        <v>Fire station, clinic, hospital, police station, transportation</v>
      </c>
      <c r="U16" s="27"/>
      <c r="V16" s="27"/>
    </row>
    <row r="17" spans="1:22">
      <c r="A17" s="27" t="str">
        <f>'Modeling Data'!A17</f>
        <v>BA Hotel</v>
      </c>
      <c r="B17" s="134">
        <f>'Modeling Data'!G17</f>
        <v>0.5</v>
      </c>
      <c r="C17" s="169" t="str">
        <f>'Modeling Data'!H17</f>
        <v>n.a.</v>
      </c>
      <c r="D17" s="26">
        <f>'Modeling Data'!I17</f>
        <v>1.5641288213559472</v>
      </c>
      <c r="E17" s="135">
        <f>'Modeling Data'!N17</f>
        <v>200</v>
      </c>
      <c r="F17" s="172">
        <f>'Modeling Data'!R17</f>
        <v>250</v>
      </c>
      <c r="G17" s="172">
        <f>'Modeling Data'!S17</f>
        <v>250</v>
      </c>
      <c r="H17" s="172">
        <f>'Modeling Data'!T17</f>
        <v>200</v>
      </c>
      <c r="I17" s="26">
        <f>'Modeling Data'!U17</f>
        <v>0.08</v>
      </c>
      <c r="J17" s="135">
        <f>'Modeling Data'!W17</f>
        <v>2800</v>
      </c>
      <c r="K17" s="172">
        <f>'Modeling Data'!X17</f>
        <v>1700</v>
      </c>
      <c r="L17" s="26">
        <f>'Modeling Data'!Y17</f>
        <v>0.69634703196347048</v>
      </c>
      <c r="M17" s="26">
        <f>'Modeling Data'!Z17</f>
        <v>0.10273972602739725</v>
      </c>
      <c r="N17" s="11" t="str">
        <f>'Modeling Data'!AA17</f>
        <v>Hotel Function</v>
      </c>
      <c r="O17" s="176" t="str">
        <f>'Modeling Data'!AB17</f>
        <v>C-3 Hotel Motel</v>
      </c>
      <c r="P17" s="176">
        <f>'Modeling Data'!AC17</f>
        <v>0</v>
      </c>
      <c r="Q17" s="176" t="str">
        <f>'Modeling Data'!AE17</f>
        <v>Hotel, motel, penitentiary</v>
      </c>
      <c r="U17" s="27"/>
      <c r="V17" s="27"/>
    </row>
    <row r="18" spans="1:22">
      <c r="A18" t="str">
        <f>'Modeling Data'!A18</f>
        <v>BA Library</v>
      </c>
      <c r="B18" s="134">
        <f>'Modeling Data'!G18</f>
        <v>1.5</v>
      </c>
      <c r="C18" s="169" t="str">
        <f>'Modeling Data'!H18</f>
        <v>n.a.</v>
      </c>
      <c r="D18" s="26">
        <f>'Modeling Data'!I18</f>
        <v>0.93722970243154469</v>
      </c>
      <c r="E18" s="135">
        <f>'Modeling Data'!N18</f>
        <v>100</v>
      </c>
      <c r="F18" s="172">
        <f>'Modeling Data'!R18</f>
        <v>100</v>
      </c>
      <c r="G18" s="172">
        <f>'Modeling Data'!S18</f>
        <v>250</v>
      </c>
      <c r="H18" s="172">
        <f>'Modeling Data'!T18</f>
        <v>200</v>
      </c>
      <c r="I18" s="26">
        <f>'Modeling Data'!U18</f>
        <v>0.11</v>
      </c>
      <c r="J18" s="135">
        <f>'Modeling Data'!W18</f>
        <v>120</v>
      </c>
      <c r="K18" s="172">
        <f>'Modeling Data'!X18</f>
        <v>215</v>
      </c>
      <c r="L18" s="26">
        <f>'Modeling Data'!Y18</f>
        <v>2.2831050228310501E-2</v>
      </c>
      <c r="M18" s="26">
        <f>'Modeling Data'!Z18</f>
        <v>6.6210045662100453E-2</v>
      </c>
      <c r="N18" s="11" t="str">
        <f>'Modeling Data'!AA18</f>
        <v>Non-Residential</v>
      </c>
      <c r="O18" s="176" t="str">
        <f>'Modeling Data'!AB18</f>
        <v>C-8 Retail</v>
      </c>
      <c r="P18" s="176">
        <f>'Modeling Data'!AC18</f>
        <v>0</v>
      </c>
      <c r="Q18" s="176" t="str">
        <f>'Modeling Data'!AE18</f>
        <v>Library, museum, retail</v>
      </c>
      <c r="U18" s="27"/>
      <c r="V18" s="27"/>
    </row>
    <row r="19" spans="1:22">
      <c r="A19" t="str">
        <f>'Modeling Data'!A19</f>
        <v>BA Manufacturing Facility</v>
      </c>
      <c r="B19" s="134">
        <f>'Modeling Data'!G19</f>
        <v>1</v>
      </c>
      <c r="C19" s="169" t="str">
        <f>'Modeling Data'!H19</f>
        <v>n.a.</v>
      </c>
      <c r="D19" s="26">
        <f>'Modeling Data'!I19</f>
        <v>0.34481488715257669</v>
      </c>
      <c r="E19" s="135">
        <f>'Modeling Data'!N19</f>
        <v>142.85714285714286</v>
      </c>
      <c r="F19" s="172">
        <f>'Modeling Data'!R19</f>
        <v>143</v>
      </c>
      <c r="G19" s="172">
        <f>'Modeling Data'!S19</f>
        <v>580</v>
      </c>
      <c r="H19" s="172">
        <f>'Modeling Data'!T19</f>
        <v>870</v>
      </c>
      <c r="I19" s="26">
        <f>'Modeling Data'!U19</f>
        <v>0.25</v>
      </c>
      <c r="J19" s="135">
        <f>'Modeling Data'!W19</f>
        <v>120</v>
      </c>
      <c r="K19" s="172">
        <f>'Modeling Data'!X19</f>
        <v>225</v>
      </c>
      <c r="L19" s="26">
        <f>'Modeling Data'!Y19</f>
        <v>0.75342465753424659</v>
      </c>
      <c r="M19" s="26">
        <f>'Modeling Data'!Z19</f>
        <v>9.8173515981735154E-2</v>
      </c>
      <c r="N19" s="11" t="str">
        <f>'Modeling Data'!AA19</f>
        <v>Non-Residential</v>
      </c>
      <c r="O19" s="176" t="str">
        <f>'Modeling Data'!AB19</f>
        <v>C-4 Manufacturing</v>
      </c>
      <c r="P19" s="176">
        <f>'Modeling Data'!AC19</f>
        <v>0</v>
      </c>
      <c r="Q19" s="176" t="str">
        <f>'Modeling Data'!AE19</f>
        <v>Automotive facility, workshop, manufacturing facility</v>
      </c>
      <c r="U19" s="27"/>
      <c r="V19" s="27"/>
    </row>
    <row r="20" spans="1:22">
      <c r="A20" t="str">
        <f>'Modeling Data'!A20</f>
        <v>BA Motel</v>
      </c>
      <c r="B20" s="134">
        <f>'Modeling Data'!G20</f>
        <v>0.5</v>
      </c>
      <c r="C20" s="169" t="str">
        <f>'Modeling Data'!H20</f>
        <v>n.a.</v>
      </c>
      <c r="D20" s="26">
        <f>'Modeling Data'!I20</f>
        <v>1.5641288213559472</v>
      </c>
      <c r="E20" s="135">
        <f>'Modeling Data'!N20</f>
        <v>200</v>
      </c>
      <c r="F20" s="172">
        <f>'Modeling Data'!R20</f>
        <v>250</v>
      </c>
      <c r="G20" s="172">
        <f>'Modeling Data'!S20</f>
        <v>250</v>
      </c>
      <c r="H20" s="172">
        <f>'Modeling Data'!T20</f>
        <v>200</v>
      </c>
      <c r="I20" s="26">
        <f>'Modeling Data'!U20</f>
        <v>0.08</v>
      </c>
      <c r="J20" s="135">
        <f>'Modeling Data'!W20</f>
        <v>2800</v>
      </c>
      <c r="K20" s="172">
        <f>'Modeling Data'!X20</f>
        <v>1700</v>
      </c>
      <c r="L20" s="26">
        <f>'Modeling Data'!Y20</f>
        <v>0.69634703196347048</v>
      </c>
      <c r="M20" s="26">
        <f>'Modeling Data'!Z20</f>
        <v>0.10273972602739725</v>
      </c>
      <c r="N20" s="11" t="str">
        <f>'Modeling Data'!AA20</f>
        <v>Residential</v>
      </c>
      <c r="O20" s="176" t="str">
        <f>'Modeling Data'!AB20</f>
        <v>C-3 Hotel Motel</v>
      </c>
      <c r="P20" s="176">
        <f>'Modeling Data'!AC20</f>
        <v>0</v>
      </c>
      <c r="Q20" s="176" t="str">
        <f>'Modeling Data'!AE20</f>
        <v>Hotel, motel, penitentiary</v>
      </c>
      <c r="U20" s="27"/>
      <c r="V20" s="27"/>
    </row>
    <row r="21" spans="1:22">
      <c r="A21" t="str">
        <f>'Modeling Data'!A21</f>
        <v>BA Motion Picture Theater</v>
      </c>
      <c r="B21" s="134">
        <f>'Modeling Data'!G21</f>
        <v>1</v>
      </c>
      <c r="C21" s="169" t="str">
        <f>'Modeling Data'!H21</f>
        <v>n.a.</v>
      </c>
      <c r="D21" s="26">
        <f>'Modeling Data'!I21</f>
        <v>0.74485358050420625</v>
      </c>
      <c r="E21" s="135">
        <f>'Modeling Data'!N21</f>
        <v>6.9930069930069934</v>
      </c>
      <c r="F21" s="172">
        <f>'Modeling Data'!R21</f>
        <v>7</v>
      </c>
      <c r="G21" s="172">
        <f>'Modeling Data'!S21</f>
        <v>225</v>
      </c>
      <c r="H21" s="172">
        <f>'Modeling Data'!T21</f>
        <v>105</v>
      </c>
      <c r="I21" s="26">
        <f>'Modeling Data'!U21</f>
        <v>1.19</v>
      </c>
      <c r="J21" s="135">
        <f>'Modeling Data'!W21</f>
        <v>60</v>
      </c>
      <c r="K21" s="172">
        <f>'Modeling Data'!X21</f>
        <v>215</v>
      </c>
      <c r="L21" s="26">
        <f>'Modeling Data'!Y21</f>
        <v>2.2831050228310501E-2</v>
      </c>
      <c r="M21" s="26">
        <f>'Modeling Data'!Z21</f>
        <v>6.6210045662100453E-2</v>
      </c>
      <c r="N21" s="11" t="str">
        <f>'Modeling Data'!AA21</f>
        <v>Non-Residential</v>
      </c>
      <c r="O21" s="176" t="str">
        <f>'Modeling Data'!AB21</f>
        <v>C-1 Assembly</v>
      </c>
      <c r="P21" s="176">
        <f>'Modeling Data'!AC21</f>
        <v>0</v>
      </c>
      <c r="Q21" s="176" t="str">
        <f>'Modeling Data'!AE21</f>
        <v>Convention center, exercise center, motion picture theature, performing arts theater, religious building, sports arena</v>
      </c>
    </row>
    <row r="22" spans="1:22">
      <c r="A22" t="str">
        <f>'Modeling Data'!A22</f>
        <v>BA Multifamily</v>
      </c>
      <c r="B22" s="134">
        <f>'Modeling Data'!G22</f>
        <v>0.5</v>
      </c>
      <c r="C22" s="169" t="str">
        <f>'Modeling Data'!H22</f>
        <v>n.a.</v>
      </c>
      <c r="D22" s="26">
        <f>'Modeling Data'!I22</f>
        <v>1.4244758690515631</v>
      </c>
      <c r="E22" s="135">
        <f>'Modeling Data'!N22</f>
        <v>200</v>
      </c>
      <c r="F22" s="172">
        <f>'Modeling Data'!R22</f>
        <v>380</v>
      </c>
      <c r="G22" s="172">
        <f>'Modeling Data'!S22</f>
        <v>250</v>
      </c>
      <c r="H22" s="172">
        <f>'Modeling Data'!T22</f>
        <v>200</v>
      </c>
      <c r="I22" s="26">
        <f>'Modeling Data'!U22</f>
        <v>0.06</v>
      </c>
      <c r="J22" s="135">
        <f>'Modeling Data'!W22</f>
        <v>1700</v>
      </c>
      <c r="K22" s="172">
        <f>'Modeling Data'!X22</f>
        <v>1700</v>
      </c>
      <c r="L22" s="26">
        <f>'Modeling Data'!Y22</f>
        <v>0.69634703196347048</v>
      </c>
      <c r="M22" s="26">
        <f>'Modeling Data'!Z22</f>
        <v>0.10273972602739725</v>
      </c>
      <c r="N22" s="11" t="str">
        <f>'Modeling Data'!AA22</f>
        <v>Residential</v>
      </c>
      <c r="O22" s="176" t="str">
        <f>'Modeling Data'!AB22</f>
        <v>C-12 Residential</v>
      </c>
      <c r="P22" s="176">
        <f>'Modeling Data'!AC22</f>
        <v>0</v>
      </c>
      <c r="Q22" s="176" t="str">
        <f>'Modeling Data'!AE22</f>
        <v>Dormatory, multifamily</v>
      </c>
    </row>
    <row r="23" spans="1:22">
      <c r="A23" t="str">
        <f>'Modeling Data'!A23</f>
        <v>BA Museum</v>
      </c>
      <c r="B23" s="134">
        <f>'Modeling Data'!G23</f>
        <v>1.5</v>
      </c>
      <c r="C23" s="169" t="str">
        <f>'Modeling Data'!H23</f>
        <v>n.a.</v>
      </c>
      <c r="D23" s="26">
        <f>'Modeling Data'!I23</f>
        <v>0.74485358050420625</v>
      </c>
      <c r="E23" s="135">
        <f>'Modeling Data'!N23</f>
        <v>14.925373134328359</v>
      </c>
      <c r="F23" s="172">
        <f>'Modeling Data'!R23</f>
        <v>25</v>
      </c>
      <c r="G23" s="172">
        <f>'Modeling Data'!S23</f>
        <v>250</v>
      </c>
      <c r="H23" s="172">
        <f>'Modeling Data'!T23</f>
        <v>200</v>
      </c>
      <c r="I23" s="26">
        <f>'Modeling Data'!U23</f>
        <v>0.36</v>
      </c>
      <c r="J23" s="135">
        <f>'Modeling Data'!W23</f>
        <v>60</v>
      </c>
      <c r="K23" s="172">
        <f>'Modeling Data'!X23</f>
        <v>215</v>
      </c>
      <c r="L23" s="26">
        <f>'Modeling Data'!Y23</f>
        <v>2.2831050228310501E-2</v>
      </c>
      <c r="M23" s="26">
        <f>'Modeling Data'!Z23</f>
        <v>6.6210045662100453E-2</v>
      </c>
      <c r="N23" s="11" t="str">
        <f>'Modeling Data'!AA23</f>
        <v>Non-Residential</v>
      </c>
      <c r="O23" s="176" t="str">
        <f>'Modeling Data'!AB23</f>
        <v>C-8 Retail</v>
      </c>
      <c r="P23" s="176">
        <f>'Modeling Data'!AC23</f>
        <v>0</v>
      </c>
      <c r="Q23" s="176" t="str">
        <f>'Modeling Data'!AE23</f>
        <v>Library, museum, retail</v>
      </c>
    </row>
    <row r="24" spans="1:22">
      <c r="A24" t="str">
        <f>'Modeling Data'!A24</f>
        <v>BA Office</v>
      </c>
      <c r="B24" s="134">
        <f>'Modeling Data'!G24</f>
        <v>1.34</v>
      </c>
      <c r="C24" s="169" t="str">
        <f>'Modeling Data'!H24</f>
        <v>n.a.</v>
      </c>
      <c r="D24" s="26">
        <f>'Modeling Data'!I24</f>
        <v>1.672119383011335</v>
      </c>
      <c r="E24" s="135">
        <f>'Modeling Data'!N24</f>
        <v>100</v>
      </c>
      <c r="F24" s="172">
        <f>'Modeling Data'!R24</f>
        <v>200</v>
      </c>
      <c r="G24" s="172">
        <f>'Modeling Data'!S24</f>
        <v>250</v>
      </c>
      <c r="H24" s="172">
        <f>'Modeling Data'!T24</f>
        <v>200</v>
      </c>
      <c r="I24" s="26">
        <f>'Modeling Data'!U24</f>
        <v>0.09</v>
      </c>
      <c r="J24" s="135">
        <f>'Modeling Data'!W24</f>
        <v>106</v>
      </c>
      <c r="K24" s="172">
        <f>'Modeling Data'!X24</f>
        <v>300</v>
      </c>
      <c r="L24" s="26">
        <f>'Modeling Data'!Y24</f>
        <v>0.12557077625570776</v>
      </c>
      <c r="M24" s="26">
        <f>'Modeling Data'!Z24</f>
        <v>5.3652968036529677E-2</v>
      </c>
      <c r="N24" s="11" t="str">
        <f>'Modeling Data'!AA24</f>
        <v>Non-Residential</v>
      </c>
      <c r="O24" s="176" t="str">
        <f>'Modeling Data'!AB24</f>
        <v>C-5 Office</v>
      </c>
      <c r="P24" s="176">
        <f>'Modeling Data'!AC24</f>
        <v>0</v>
      </c>
      <c r="Q24" s="176" t="str">
        <f>'Modeling Data'!AE24</f>
        <v>courthouse, office, post office, town hall</v>
      </c>
    </row>
    <row r="25" spans="1:22">
      <c r="A25" t="str">
        <f>'Modeling Data'!A25</f>
        <v>BA Parking Garage</v>
      </c>
      <c r="B25" s="134">
        <f>'Modeling Data'!G25</f>
        <v>1</v>
      </c>
      <c r="C25" s="169" t="str">
        <f>'Modeling Data'!H25</f>
        <v>n.a.</v>
      </c>
      <c r="D25" s="26" t="str">
        <f>'Modeling Data'!I25</f>
        <v>n.a.</v>
      </c>
      <c r="E25" s="135">
        <f>'Modeling Data'!N25</f>
        <v>100</v>
      </c>
      <c r="F25" s="172">
        <f>'Modeling Data'!R25</f>
        <v>0</v>
      </c>
      <c r="G25" s="172">
        <f>'Modeling Data'!S25</f>
        <v>250</v>
      </c>
      <c r="H25" s="172">
        <f>'Modeling Data'!T25</f>
        <v>200</v>
      </c>
      <c r="I25" s="26">
        <f>'Modeling Data'!U25</f>
        <v>0</v>
      </c>
      <c r="J25" s="135">
        <f>'Modeling Data'!W25</f>
        <v>120</v>
      </c>
      <c r="K25" s="172">
        <f>'Modeling Data'!X25</f>
        <v>0</v>
      </c>
      <c r="L25" s="26">
        <f>'Modeling Data'!Y25</f>
        <v>0</v>
      </c>
      <c r="M25" s="26">
        <f>'Modeling Data'!Z25</f>
        <v>3.1963470319634701E-2</v>
      </c>
      <c r="N25" s="11" t="str">
        <f>'Modeling Data'!AA25</f>
        <v>Retail</v>
      </c>
      <c r="O25" s="176" t="str">
        <f>'Modeling Data'!AB25</f>
        <v>C-6 Parking Garage</v>
      </c>
      <c r="P25" s="176">
        <f>'Modeling Data'!AC25</f>
        <v>0</v>
      </c>
      <c r="Q25" s="176" t="str">
        <f>'Modeling Data'!AE25</f>
        <v>Parking garage</v>
      </c>
    </row>
    <row r="26" spans="1:22">
      <c r="A26" t="str">
        <f>'Modeling Data'!A26</f>
        <v>BA Penitentiary</v>
      </c>
      <c r="B26" s="134">
        <f>'Modeling Data'!G26</f>
        <v>0.5</v>
      </c>
      <c r="C26" s="169" t="str">
        <f>'Modeling Data'!H26</f>
        <v>n.a.</v>
      </c>
      <c r="D26" s="26">
        <f>'Modeling Data'!I26</f>
        <v>1.4928322661656475</v>
      </c>
      <c r="E26" s="135">
        <f>'Modeling Data'!N26</f>
        <v>200</v>
      </c>
      <c r="F26" s="172">
        <f>'Modeling Data'!R26</f>
        <v>40</v>
      </c>
      <c r="G26" s="172">
        <f>'Modeling Data'!S26</f>
        <v>250</v>
      </c>
      <c r="H26" s="172">
        <f>'Modeling Data'!T26</f>
        <v>200</v>
      </c>
      <c r="I26" s="26">
        <f>'Modeling Data'!U26</f>
        <v>0.25</v>
      </c>
      <c r="J26" s="135">
        <f>'Modeling Data'!W26</f>
        <v>2800</v>
      </c>
      <c r="K26" s="172">
        <f>'Modeling Data'!X26</f>
        <v>1700</v>
      </c>
      <c r="L26" s="26">
        <f>'Modeling Data'!Y26</f>
        <v>0.69634703196347048</v>
      </c>
      <c r="M26" s="26">
        <f>'Modeling Data'!Z26</f>
        <v>0.10273972602739725</v>
      </c>
      <c r="N26" s="11" t="str">
        <f>'Modeling Data'!AA26</f>
        <v>Residential</v>
      </c>
      <c r="O26" s="176" t="str">
        <f>'Modeling Data'!AB26</f>
        <v>C-3 Hotel Motel</v>
      </c>
      <c r="P26" s="176">
        <f>'Modeling Data'!AC26</f>
        <v>0</v>
      </c>
      <c r="Q26" s="176" t="str">
        <f>'Modeling Data'!AE26</f>
        <v>Hotel, motel, penitentiary</v>
      </c>
    </row>
    <row r="27" spans="1:22">
      <c r="A27" t="str">
        <f>'Modeling Data'!A27</f>
        <v>BA Performing Arts Theater</v>
      </c>
      <c r="B27" s="134">
        <f>'Modeling Data'!G27</f>
        <v>0.5</v>
      </c>
      <c r="C27" s="169" t="str">
        <f>'Modeling Data'!H27</f>
        <v>n.a.</v>
      </c>
      <c r="D27" s="26">
        <f>'Modeling Data'!I27</f>
        <v>0.74485358050420625</v>
      </c>
      <c r="E27" s="135">
        <f>'Modeling Data'!N27</f>
        <v>6.9930069930069934</v>
      </c>
      <c r="F27" s="172">
        <f>'Modeling Data'!R27</f>
        <v>14</v>
      </c>
      <c r="G27" s="172">
        <f>'Modeling Data'!S27</f>
        <v>225</v>
      </c>
      <c r="H27" s="172">
        <f>'Modeling Data'!T27</f>
        <v>105</v>
      </c>
      <c r="I27" s="26">
        <f>'Modeling Data'!U27</f>
        <v>0.76</v>
      </c>
      <c r="J27" s="135">
        <f>'Modeling Data'!W27</f>
        <v>60</v>
      </c>
      <c r="K27" s="172">
        <f>'Modeling Data'!X27</f>
        <v>215</v>
      </c>
      <c r="L27" s="26">
        <f>'Modeling Data'!Y27</f>
        <v>2.2831050228310501E-2</v>
      </c>
      <c r="M27" s="26">
        <f>'Modeling Data'!Z27</f>
        <v>6.6210045662100453E-2</v>
      </c>
      <c r="N27" s="11" t="str">
        <f>'Modeling Data'!AA27</f>
        <v>Non-Residential</v>
      </c>
      <c r="O27" s="176" t="str">
        <f>'Modeling Data'!AB27</f>
        <v>C-1 Assembly</v>
      </c>
      <c r="P27" s="176">
        <f>'Modeling Data'!AC27</f>
        <v>0</v>
      </c>
      <c r="Q27" s="176" t="str">
        <f>'Modeling Data'!AE27</f>
        <v>Convention center, exercise center, motion picture theature, performing arts theater, religious building, sports arena</v>
      </c>
    </row>
    <row r="28" spans="1:22">
      <c r="A28" t="str">
        <f>'Modeling Data'!A28</f>
        <v>BA Police Station</v>
      </c>
      <c r="B28" s="134">
        <f>'Modeling Data'!G28</f>
        <v>1.5</v>
      </c>
      <c r="C28" s="169" t="str">
        <f>'Modeling Data'!H28</f>
        <v>n.a.</v>
      </c>
      <c r="D28" s="26">
        <f>'Modeling Data'!I28</f>
        <v>1.5403580152290588</v>
      </c>
      <c r="E28" s="135">
        <f>'Modeling Data'!N28</f>
        <v>100</v>
      </c>
      <c r="F28" s="172">
        <f>'Modeling Data'!R28</f>
        <v>33</v>
      </c>
      <c r="G28" s="172">
        <f>'Modeling Data'!S28</f>
        <v>250</v>
      </c>
      <c r="H28" s="172">
        <f>'Modeling Data'!T28</f>
        <v>200</v>
      </c>
      <c r="I28" s="26">
        <f>'Modeling Data'!U28</f>
        <v>0.21</v>
      </c>
      <c r="J28" s="135">
        <f>'Modeling Data'!W28</f>
        <v>120</v>
      </c>
      <c r="K28" s="172">
        <f>'Modeling Data'!X28</f>
        <v>300</v>
      </c>
      <c r="L28" s="26">
        <f>'Modeling Data'!Y28</f>
        <v>0.75342465753424659</v>
      </c>
      <c r="M28" s="26">
        <f>'Modeling Data'!Z28</f>
        <v>9.8173515981735154E-2</v>
      </c>
      <c r="N28" s="11" t="str">
        <f>'Modeling Data'!AA28</f>
        <v>Non-Residential</v>
      </c>
      <c r="O28" s="176" t="str">
        <f>'Modeling Data'!AB28</f>
        <v>C-2 Public</v>
      </c>
      <c r="P28" s="176">
        <f>'Modeling Data'!AC28</f>
        <v>0</v>
      </c>
      <c r="Q28" s="176" t="str">
        <f>'Modeling Data'!AE28</f>
        <v>Fire station, clinic, hospital, police station, transportation</v>
      </c>
    </row>
    <row r="29" spans="1:22">
      <c r="A29" t="str">
        <f>'Modeling Data'!A29</f>
        <v>BA Post Office</v>
      </c>
      <c r="B29" s="134">
        <f>'Modeling Data'!G29</f>
        <v>1</v>
      </c>
      <c r="C29" s="169" t="str">
        <f>'Modeling Data'!H29</f>
        <v>n.a.</v>
      </c>
      <c r="D29" s="26">
        <f>'Modeling Data'!I29</f>
        <v>0.90907201553445571</v>
      </c>
      <c r="E29" s="135">
        <f>'Modeling Data'!N29</f>
        <v>100</v>
      </c>
      <c r="F29" s="172">
        <f>'Modeling Data'!R29</f>
        <v>33</v>
      </c>
      <c r="G29" s="172">
        <f>'Modeling Data'!S29</f>
        <v>250</v>
      </c>
      <c r="H29" s="172">
        <f>'Modeling Data'!T29</f>
        <v>200</v>
      </c>
      <c r="I29" s="26">
        <f>'Modeling Data'!U29</f>
        <v>0.21</v>
      </c>
      <c r="J29" s="135">
        <f>'Modeling Data'!W29</f>
        <v>120</v>
      </c>
      <c r="K29" s="172">
        <f>'Modeling Data'!X29</f>
        <v>300</v>
      </c>
      <c r="L29" s="26">
        <f>'Modeling Data'!Y29</f>
        <v>0.75342465753424659</v>
      </c>
      <c r="M29" s="26">
        <f>'Modeling Data'!Z29</f>
        <v>9.8173515981735154E-2</v>
      </c>
      <c r="N29" s="11" t="str">
        <f>'Modeling Data'!AA29</f>
        <v>Non-Residential</v>
      </c>
      <c r="O29" s="176" t="str">
        <f>'Modeling Data'!AB29</f>
        <v>C-5 Office</v>
      </c>
      <c r="P29" s="176">
        <f>'Modeling Data'!AC29</f>
        <v>0</v>
      </c>
      <c r="Q29" s="176" t="str">
        <f>'Modeling Data'!AE29</f>
        <v>courthouse, office, post office, town hall</v>
      </c>
    </row>
    <row r="30" spans="1:22">
      <c r="A30" t="str">
        <f>'Modeling Data'!A30</f>
        <v>BA Religious Building</v>
      </c>
      <c r="B30" s="134">
        <f>'Modeling Data'!G30</f>
        <v>0.96</v>
      </c>
      <c r="C30" s="169" t="str">
        <f>'Modeling Data'!H30</f>
        <v>n.a.</v>
      </c>
      <c r="D30" s="26">
        <f>'Modeling Data'!I30</f>
        <v>0.29844543263937018</v>
      </c>
      <c r="E30" s="135">
        <f>'Modeling Data'!N30</f>
        <v>7.3529411764705879</v>
      </c>
      <c r="F30" s="172">
        <f>'Modeling Data'!R30</f>
        <v>8</v>
      </c>
      <c r="G30" s="172">
        <f>'Modeling Data'!S30</f>
        <v>245</v>
      </c>
      <c r="H30" s="172">
        <f>'Modeling Data'!T30</f>
        <v>155</v>
      </c>
      <c r="I30" s="26">
        <f>'Modeling Data'!U30</f>
        <v>0.66</v>
      </c>
      <c r="J30" s="135">
        <f>'Modeling Data'!W30</f>
        <v>57</v>
      </c>
      <c r="K30" s="172">
        <f>'Modeling Data'!X30</f>
        <v>215</v>
      </c>
      <c r="L30" s="26">
        <f>'Modeling Data'!Y30</f>
        <v>2.2831050228310501E-2</v>
      </c>
      <c r="M30" s="26">
        <f>'Modeling Data'!Z30</f>
        <v>6.6210045662100453E-2</v>
      </c>
      <c r="N30" s="11" t="str">
        <f>'Modeling Data'!AA30</f>
        <v>Non-Residential</v>
      </c>
      <c r="O30" s="176" t="str">
        <f>'Modeling Data'!AB30</f>
        <v>C-1 Assembly</v>
      </c>
      <c r="P30" s="176">
        <f>'Modeling Data'!AC30</f>
        <v>0</v>
      </c>
      <c r="Q30" s="176" t="str">
        <f>'Modeling Data'!AE30</f>
        <v>Convention center, exercise center, motion picture theature, performing arts theater, religious building, sports arena</v>
      </c>
    </row>
    <row r="31" spans="1:22">
      <c r="A31" t="str">
        <f>'Modeling Data'!A31</f>
        <v>BA Retail</v>
      </c>
      <c r="B31" s="134">
        <f>'Modeling Data'!G31</f>
        <v>1</v>
      </c>
      <c r="C31" s="169" t="str">
        <f>'Modeling Data'!H31</f>
        <v>n.a.</v>
      </c>
      <c r="D31" s="26">
        <f>'Modeling Data'!I31</f>
        <v>0.70234930798269923</v>
      </c>
      <c r="E31" s="135">
        <f>'Modeling Data'!N31</f>
        <v>30.303030303030305</v>
      </c>
      <c r="F31" s="172">
        <f>'Modeling Data'!R31</f>
        <v>67</v>
      </c>
      <c r="G31" s="172">
        <f>'Modeling Data'!S31</f>
        <v>250</v>
      </c>
      <c r="H31" s="172">
        <f>'Modeling Data'!T31</f>
        <v>200</v>
      </c>
      <c r="I31" s="26">
        <f>'Modeling Data'!U31</f>
        <v>0.23</v>
      </c>
      <c r="J31" s="135">
        <f>'Modeling Data'!W31</f>
        <v>120</v>
      </c>
      <c r="K31" s="172">
        <f>'Modeling Data'!X31</f>
        <v>135</v>
      </c>
      <c r="L31" s="26">
        <f>'Modeling Data'!Y31</f>
        <v>9.1324200913242004E-2</v>
      </c>
      <c r="M31" s="26">
        <f>'Modeling Data'!Z31</f>
        <v>0.11757990867579908</v>
      </c>
      <c r="N31" s="11" t="str">
        <f>'Modeling Data'!AA31</f>
        <v>Retail</v>
      </c>
      <c r="O31" s="176" t="str">
        <f>'Modeling Data'!AB31</f>
        <v>C-8 Retail</v>
      </c>
      <c r="P31" s="176">
        <f>'Modeling Data'!AC31</f>
        <v>0</v>
      </c>
      <c r="Q31" s="176" t="str">
        <f>'Modeling Data'!AE31</f>
        <v>Library, museum, retail</v>
      </c>
    </row>
    <row r="32" spans="1:22">
      <c r="A32" t="str">
        <f>'Modeling Data'!A32</f>
        <v>BA School/University</v>
      </c>
      <c r="B32" s="134">
        <f>'Modeling Data'!G32</f>
        <v>1</v>
      </c>
      <c r="C32" s="169" t="str">
        <f>'Modeling Data'!H32</f>
        <v>n.a.</v>
      </c>
      <c r="D32" s="26">
        <f>'Modeling Data'!I32</f>
        <v>0.68748419285970452</v>
      </c>
      <c r="E32" s="135">
        <f>'Modeling Data'!N32</f>
        <v>25</v>
      </c>
      <c r="F32" s="172">
        <f>'Modeling Data'!R32</f>
        <v>40</v>
      </c>
      <c r="G32" s="172">
        <f>'Modeling Data'!S32</f>
        <v>250</v>
      </c>
      <c r="H32" s="172">
        <f>'Modeling Data'!T32</f>
        <v>200</v>
      </c>
      <c r="I32" s="26">
        <f>'Modeling Data'!U32</f>
        <v>0.47</v>
      </c>
      <c r="J32" s="135">
        <f>'Modeling Data'!W32</f>
        <v>108</v>
      </c>
      <c r="K32" s="172">
        <f>'Modeling Data'!X32</f>
        <v>215</v>
      </c>
      <c r="L32" s="26">
        <f>'Modeling Data'!Y32</f>
        <v>0.13698630136986303</v>
      </c>
      <c r="M32" s="26">
        <f>'Modeling Data'!Z32</f>
        <v>5.7077625570776253E-2</v>
      </c>
      <c r="N32" s="11" t="str">
        <f>'Modeling Data'!AA32</f>
        <v>Non-Residential</v>
      </c>
      <c r="O32" s="176" t="str">
        <f>'Modeling Data'!AB32</f>
        <v>C-9 Schools</v>
      </c>
      <c r="P32" s="176">
        <f>'Modeling Data'!AC32</f>
        <v>0</v>
      </c>
      <c r="Q32" s="176" t="str">
        <f>'Modeling Data'!AE32</f>
        <v>K-12 schools, universities</v>
      </c>
    </row>
    <row r="33" spans="1:17">
      <c r="A33" t="str">
        <f>'Modeling Data'!A33</f>
        <v>BA Sports Arena</v>
      </c>
      <c r="B33" s="134">
        <f>'Modeling Data'!G33</f>
        <v>1</v>
      </c>
      <c r="C33" s="169" t="str">
        <f>'Modeling Data'!H33</f>
        <v>n.a.</v>
      </c>
      <c r="D33" s="26">
        <f>'Modeling Data'!I33</f>
        <v>0.74760799257268662</v>
      </c>
      <c r="E33" s="135">
        <f>'Modeling Data'!N33</f>
        <v>6.9930069930069934</v>
      </c>
      <c r="F33" s="172">
        <f>'Modeling Data'!R33</f>
        <v>0</v>
      </c>
      <c r="G33" s="172">
        <f>'Modeling Data'!S33</f>
        <v>245</v>
      </c>
      <c r="H33" s="172">
        <f>'Modeling Data'!T33</f>
        <v>105</v>
      </c>
      <c r="I33" s="26">
        <f>'Modeling Data'!U33</f>
        <v>0.3</v>
      </c>
      <c r="J33" s="135">
        <f>'Modeling Data'!W33</f>
        <v>60</v>
      </c>
      <c r="K33" s="172">
        <f>'Modeling Data'!X33</f>
        <v>215</v>
      </c>
      <c r="L33" s="26">
        <f>'Modeling Data'!Y33</f>
        <v>2.2831050228310501E-2</v>
      </c>
      <c r="M33" s="26">
        <f>'Modeling Data'!Z33</f>
        <v>6.6210045662100453E-2</v>
      </c>
      <c r="N33" s="11" t="str">
        <f>'Modeling Data'!AA33</f>
        <v>Non-Residential</v>
      </c>
      <c r="O33" s="176" t="str">
        <f>'Modeling Data'!AB33</f>
        <v>C-1 Assembly</v>
      </c>
      <c r="P33" s="176">
        <f>'Modeling Data'!AC33</f>
        <v>0</v>
      </c>
      <c r="Q33" s="176" t="str">
        <f>'Modeling Data'!AE33</f>
        <v>Convention center, exercise center, motion picture theature, performing arts theater, religious building, sports arena</v>
      </c>
    </row>
    <row r="34" spans="1:17">
      <c r="A34" t="str">
        <f>'Modeling Data'!A34</f>
        <v>BA Town Hall</v>
      </c>
      <c r="B34" s="134">
        <f>'Modeling Data'!G34</f>
        <v>1.34</v>
      </c>
      <c r="C34" s="169" t="str">
        <f>'Modeling Data'!H34</f>
        <v>n.a.</v>
      </c>
      <c r="D34" s="26">
        <f>'Modeling Data'!I34</f>
        <v>0.74760799257268662</v>
      </c>
      <c r="E34" s="135">
        <f>'Modeling Data'!N34</f>
        <v>100</v>
      </c>
      <c r="F34" s="172">
        <f>'Modeling Data'!R34</f>
        <v>200</v>
      </c>
      <c r="G34" s="172">
        <f>'Modeling Data'!S34</f>
        <v>250</v>
      </c>
      <c r="H34" s="172">
        <f>'Modeling Data'!T34</f>
        <v>200</v>
      </c>
      <c r="I34" s="26">
        <f>'Modeling Data'!U34</f>
        <v>0.09</v>
      </c>
      <c r="J34" s="135">
        <f>'Modeling Data'!W34</f>
        <v>106</v>
      </c>
      <c r="K34" s="172">
        <f>'Modeling Data'!X34</f>
        <v>215</v>
      </c>
      <c r="L34" s="26">
        <f>'Modeling Data'!Y34</f>
        <v>0.12557077625570776</v>
      </c>
      <c r="M34" s="26">
        <f>'Modeling Data'!Z34</f>
        <v>5.3652968036529677E-2</v>
      </c>
      <c r="N34" s="11" t="str">
        <f>'Modeling Data'!AA34</f>
        <v>Non-Residential</v>
      </c>
      <c r="O34" s="176" t="str">
        <f>'Modeling Data'!AB34</f>
        <v>C-2 Public</v>
      </c>
      <c r="P34" s="176">
        <f>'Modeling Data'!AC34</f>
        <v>0</v>
      </c>
      <c r="Q34" s="176" t="str">
        <f>'Modeling Data'!AE34</f>
        <v>Fire station, clinic, hospital, police station, transportation</v>
      </c>
    </row>
    <row r="35" spans="1:17">
      <c r="A35" t="str">
        <f>'Modeling Data'!A35</f>
        <v>BA Transportation</v>
      </c>
      <c r="B35" s="134">
        <f>'Modeling Data'!G35</f>
        <v>0.5</v>
      </c>
      <c r="C35" s="169" t="str">
        <f>'Modeling Data'!H35</f>
        <v>n.a.</v>
      </c>
      <c r="D35" s="26">
        <f>'Modeling Data'!I35</f>
        <v>0.51912260356910667</v>
      </c>
      <c r="E35" s="135">
        <f>'Modeling Data'!N35</f>
        <v>30.303030303030305</v>
      </c>
      <c r="F35" s="172">
        <f>'Modeling Data'!R35</f>
        <v>10</v>
      </c>
      <c r="G35" s="172">
        <f>'Modeling Data'!S35</f>
        <v>225</v>
      </c>
      <c r="H35" s="172">
        <f>'Modeling Data'!T35</f>
        <v>105</v>
      </c>
      <c r="I35" s="26">
        <f>'Modeling Data'!U35</f>
        <v>0.81</v>
      </c>
      <c r="J35" s="135">
        <f>'Modeling Data'!W35</f>
        <v>120</v>
      </c>
      <c r="K35" s="172">
        <f>'Modeling Data'!X35</f>
        <v>215</v>
      </c>
      <c r="L35" s="26">
        <f>'Modeling Data'!Y35</f>
        <v>2.2831050228310501E-2</v>
      </c>
      <c r="M35" s="26">
        <f>'Modeling Data'!Z35</f>
        <v>6.6210045662100453E-2</v>
      </c>
      <c r="N35" s="11" t="str">
        <f>'Modeling Data'!AA35</f>
        <v>Non-Residential</v>
      </c>
      <c r="O35" s="176" t="str">
        <f>'Modeling Data'!AB35</f>
        <v>C-2 Public</v>
      </c>
      <c r="P35" s="176">
        <f>'Modeling Data'!AC35</f>
        <v>0</v>
      </c>
      <c r="Q35" s="176" t="str">
        <f>'Modeling Data'!AE35</f>
        <v>Fire station, clinic, hospital, police station, transportation</v>
      </c>
    </row>
    <row r="36" spans="1:17">
      <c r="A36" t="str">
        <f>'Modeling Data'!A36</f>
        <v>BA Warehouse</v>
      </c>
      <c r="B36" s="134">
        <f>'Modeling Data'!G36</f>
        <v>0.2</v>
      </c>
      <c r="C36" s="169" t="str">
        <f>'Modeling Data'!H36</f>
        <v>n.a.</v>
      </c>
      <c r="D36" s="26">
        <f>'Modeling Data'!I36</f>
        <v>0.30230662613081127</v>
      </c>
      <c r="E36" s="135">
        <f>'Modeling Data'!N36</f>
        <v>333.33333333333331</v>
      </c>
      <c r="F36" s="172">
        <f>'Modeling Data'!R36</f>
        <v>0</v>
      </c>
      <c r="G36" s="172">
        <f>'Modeling Data'!S36</f>
        <v>275</v>
      </c>
      <c r="H36" s="172">
        <f>'Modeling Data'!T36</f>
        <v>475</v>
      </c>
      <c r="I36" s="26">
        <f>'Modeling Data'!U36</f>
        <v>0.06</v>
      </c>
      <c r="J36" s="135">
        <f>'Modeling Data'!W36</f>
        <v>120</v>
      </c>
      <c r="K36" s="172">
        <f>'Modeling Data'!X36</f>
        <v>1000</v>
      </c>
      <c r="L36" s="26">
        <f>'Modeling Data'!Y36</f>
        <v>0</v>
      </c>
      <c r="M36" s="26">
        <f>'Modeling Data'!Z36</f>
        <v>3.1963470319634701E-2</v>
      </c>
      <c r="N36" s="11" t="str">
        <f>'Modeling Data'!AA36</f>
        <v>Non-Residential</v>
      </c>
      <c r="O36" s="176" t="str">
        <f>'Modeling Data'!AB36</f>
        <v>C-10 Warehouse</v>
      </c>
      <c r="P36" s="176">
        <f>'Modeling Data'!AC36</f>
        <v>0</v>
      </c>
      <c r="Q36" s="176" t="str">
        <f>'Modeling Data'!AE36</f>
        <v>Warehouse</v>
      </c>
    </row>
    <row r="37" spans="1:17">
      <c r="A37" t="str">
        <f>'Modeling Data'!A37</f>
        <v>BA Workshop</v>
      </c>
      <c r="B37" s="134">
        <f>'Modeling Data'!G37</f>
        <v>1</v>
      </c>
      <c r="C37" s="169" t="str">
        <f>'Modeling Data'!H37</f>
        <v>n.a.</v>
      </c>
      <c r="D37" s="26">
        <f>'Modeling Data'!I37</f>
        <v>0.42833678057910263</v>
      </c>
      <c r="E37" s="135">
        <f>'Modeling Data'!N37</f>
        <v>142.85714285714286</v>
      </c>
      <c r="F37" s="172">
        <f>'Modeling Data'!R37</f>
        <v>143</v>
      </c>
      <c r="G37" s="172">
        <f>'Modeling Data'!S37</f>
        <v>635</v>
      </c>
      <c r="H37" s="172">
        <f>'Modeling Data'!T37</f>
        <v>965</v>
      </c>
      <c r="I37" s="26">
        <f>'Modeling Data'!U37</f>
        <v>0.25</v>
      </c>
      <c r="J37" s="135">
        <f>'Modeling Data'!W37</f>
        <v>120</v>
      </c>
      <c r="K37" s="172">
        <f>'Modeling Data'!X37</f>
        <v>225</v>
      </c>
      <c r="L37" s="26">
        <f>'Modeling Data'!Y37</f>
        <v>0.75342465753424659</v>
      </c>
      <c r="M37" s="26">
        <f>'Modeling Data'!Z37</f>
        <v>9.8173515981735154E-2</v>
      </c>
      <c r="N37" s="11" t="str">
        <f>'Modeling Data'!AA37</f>
        <v>Non-Residential</v>
      </c>
      <c r="O37" s="176" t="str">
        <f>'Modeling Data'!AB37</f>
        <v>C-4 Manufacturing</v>
      </c>
      <c r="P37" s="176">
        <f>'Modeling Data'!AC37</f>
        <v>0</v>
      </c>
      <c r="Q37" s="176" t="str">
        <f>'Modeling Data'!AE37</f>
        <v>Automotive facility, workshop, manufacturing facility</v>
      </c>
    </row>
    <row r="38" spans="1:17" s="20" customFormat="1">
      <c r="A38" s="17" t="str">
        <f>'Modeling Data'!A38</f>
        <v>Space-by-Space Classifications</v>
      </c>
      <c r="B38" s="18">
        <f>'Modeling Data'!G38</f>
        <v>0</v>
      </c>
      <c r="C38" s="166">
        <f>'Modeling Data'!H38</f>
        <v>0</v>
      </c>
      <c r="D38" s="18">
        <f>'Modeling Data'!I38</f>
        <v>0</v>
      </c>
      <c r="E38" s="19">
        <f>'Modeling Data'!N38</f>
        <v>0</v>
      </c>
      <c r="F38" s="18">
        <f>'Modeling Data'!R38</f>
        <v>0</v>
      </c>
      <c r="G38" s="18">
        <f>'Modeling Data'!S38</f>
        <v>0</v>
      </c>
      <c r="H38" s="18">
        <f>'Modeling Data'!T38</f>
        <v>0</v>
      </c>
      <c r="I38" s="18">
        <f>'Modeling Data'!U38</f>
        <v>0</v>
      </c>
      <c r="J38" s="19">
        <f>'Modeling Data'!W38</f>
        <v>0</v>
      </c>
      <c r="K38" s="18">
        <f>'Modeling Data'!X38</f>
        <v>0</v>
      </c>
      <c r="L38" s="18">
        <f>'Modeling Data'!Y38</f>
        <v>0</v>
      </c>
      <c r="M38" s="18">
        <f>'Modeling Data'!Z38</f>
        <v>0</v>
      </c>
      <c r="N38" s="20">
        <f>'Modeling Data'!AA38</f>
        <v>0</v>
      </c>
      <c r="O38" s="20">
        <f>'Modeling Data'!AB38</f>
        <v>0</v>
      </c>
      <c r="P38" s="20">
        <f>'Modeling Data'!AC38</f>
        <v>0</v>
      </c>
      <c r="Q38" s="20">
        <f>'Modeling Data'!AE38</f>
        <v>0</v>
      </c>
    </row>
    <row r="39" spans="1:17">
      <c r="A39" s="27" t="str">
        <f>'Modeling Data'!A39</f>
        <v>CS Audience Seating Area, Auditorium</v>
      </c>
      <c r="B39" s="134">
        <f>'Modeling Data'!G39</f>
        <v>1</v>
      </c>
      <c r="C39" s="169">
        <f>'Modeling Data'!H39</f>
        <v>0.1</v>
      </c>
      <c r="D39" s="26">
        <f>'Modeling Data'!I39</f>
        <v>0.74760799257268662</v>
      </c>
      <c r="E39" s="135">
        <f>'Modeling Data'!N39</f>
        <v>7</v>
      </c>
      <c r="F39" s="172">
        <f>'Modeling Data'!R39</f>
        <v>14</v>
      </c>
      <c r="G39" s="172">
        <f>'Modeling Data'!S39</f>
        <v>225</v>
      </c>
      <c r="H39" s="172">
        <f>'Modeling Data'!T39</f>
        <v>105</v>
      </c>
      <c r="I39" s="26">
        <f>'Modeling Data'!U39</f>
        <v>0.76</v>
      </c>
      <c r="J39" s="135">
        <f>'Modeling Data'!W39</f>
        <v>60</v>
      </c>
      <c r="K39" s="172">
        <f>'Modeling Data'!X39</f>
        <v>100</v>
      </c>
      <c r="L39" s="26">
        <f>'Modeling Data'!Y39</f>
        <v>2.2831050228310501E-2</v>
      </c>
      <c r="M39" s="26">
        <f>'Modeling Data'!Z39</f>
        <v>6.6210045662100453E-2</v>
      </c>
      <c r="N39" s="32" t="str">
        <f>'Modeling Data'!AA39</f>
        <v xml:space="preserve">Non-Residential </v>
      </c>
      <c r="O39" s="177" t="str">
        <f>'Modeling Data'!AB39</f>
        <v>Use parent schedule</v>
      </c>
      <c r="P39" s="176">
        <f>'Modeling Data'!AC39</f>
        <v>0</v>
      </c>
      <c r="Q39" s="176" t="str">
        <f>'Modeling Data'!AE39</f>
        <v>Schedule is inherited</v>
      </c>
    </row>
    <row r="40" spans="1:17">
      <c r="A40" s="27" t="str">
        <f>'Modeling Data'!A40</f>
        <v>CS Audience Seating Area, Convention Center</v>
      </c>
      <c r="B40" s="134">
        <f>'Modeling Data'!G40</f>
        <v>1</v>
      </c>
      <c r="C40" s="169">
        <f>'Modeling Data'!H40</f>
        <v>0.1</v>
      </c>
      <c r="D40" s="26">
        <f>'Modeling Data'!I40</f>
        <v>0.74760799257268662</v>
      </c>
      <c r="E40" s="135">
        <f>'Modeling Data'!N40</f>
        <v>7</v>
      </c>
      <c r="F40" s="172">
        <f>'Modeling Data'!R40</f>
        <v>20</v>
      </c>
      <c r="G40" s="172">
        <f>'Modeling Data'!S40</f>
        <v>250</v>
      </c>
      <c r="H40" s="172">
        <f>'Modeling Data'!T40</f>
        <v>200</v>
      </c>
      <c r="I40" s="26">
        <f>'Modeling Data'!U40</f>
        <v>0.31</v>
      </c>
      <c r="J40" s="135">
        <f>'Modeling Data'!W40</f>
        <v>60</v>
      </c>
      <c r="K40" s="172">
        <f>'Modeling Data'!X40</f>
        <v>150</v>
      </c>
      <c r="L40" s="26">
        <f>'Modeling Data'!Y40</f>
        <v>2.2831050228310501E-2</v>
      </c>
      <c r="M40" s="26">
        <f>'Modeling Data'!Z40</f>
        <v>6.6210045662100453E-2</v>
      </c>
      <c r="N40" s="32" t="str">
        <f>'Modeling Data'!AA40</f>
        <v xml:space="preserve">Non-Residential </v>
      </c>
      <c r="O40" s="177" t="str">
        <f>'Modeling Data'!AB40</f>
        <v>C-1 Assembly</v>
      </c>
      <c r="P40" s="176">
        <f>'Modeling Data'!AC40</f>
        <v>0</v>
      </c>
      <c r="Q40" s="176" t="str">
        <f>'Modeling Data'!AE40</f>
        <v>Convention center, exercise center, motion picture theature, performing arts theater, religious building, sports arena</v>
      </c>
    </row>
    <row r="41" spans="1:17">
      <c r="A41" s="27" t="str">
        <f>'Modeling Data'!A41</f>
        <v>CS Audience Seating Area, Exercise Center</v>
      </c>
      <c r="B41" s="134">
        <f>'Modeling Data'!G41</f>
        <v>1</v>
      </c>
      <c r="C41" s="169">
        <f>'Modeling Data'!H41</f>
        <v>0.1</v>
      </c>
      <c r="D41" s="26">
        <f>'Modeling Data'!I41</f>
        <v>0.67424666522690402</v>
      </c>
      <c r="E41" s="135">
        <f>'Modeling Data'!N41</f>
        <v>7</v>
      </c>
      <c r="F41" s="172">
        <f>'Modeling Data'!R41</f>
        <v>100</v>
      </c>
      <c r="G41" s="172">
        <f>'Modeling Data'!S41</f>
        <v>710</v>
      </c>
      <c r="H41" s="172">
        <f>'Modeling Data'!T41</f>
        <v>1090</v>
      </c>
      <c r="I41" s="26">
        <f>'Modeling Data'!U41</f>
        <v>0.26</v>
      </c>
      <c r="J41" s="135">
        <f>'Modeling Data'!W41</f>
        <v>120</v>
      </c>
      <c r="K41" s="172">
        <f>'Modeling Data'!X41</f>
        <v>100</v>
      </c>
      <c r="L41" s="26">
        <f>'Modeling Data'!Y41</f>
        <v>2.2831050228310501E-2</v>
      </c>
      <c r="M41" s="26">
        <f>'Modeling Data'!Z41</f>
        <v>6.6210045662100453E-2</v>
      </c>
      <c r="N41" s="32" t="str">
        <f>'Modeling Data'!AA41</f>
        <v xml:space="preserve">Non-Residential </v>
      </c>
      <c r="O41" s="177" t="str">
        <f>'Modeling Data'!AB41</f>
        <v>Use parent schedule</v>
      </c>
      <c r="P41" s="176">
        <f>'Modeling Data'!AC41</f>
        <v>0</v>
      </c>
      <c r="Q41" s="176" t="str">
        <f>'Modeling Data'!AE41</f>
        <v>Schedule is inherited</v>
      </c>
    </row>
    <row r="42" spans="1:17">
      <c r="A42" s="27" t="str">
        <f>'Modeling Data'!A42</f>
        <v>CS Audience Seating Area, Gymnasium</v>
      </c>
      <c r="B42" s="134">
        <f>'Modeling Data'!G42</f>
        <v>1</v>
      </c>
      <c r="C42" s="169">
        <f>'Modeling Data'!H42</f>
        <v>0.1</v>
      </c>
      <c r="D42" s="26">
        <f>'Modeling Data'!I42</f>
        <v>0.67424666522690402</v>
      </c>
      <c r="E42" s="135">
        <f>'Modeling Data'!N42</f>
        <v>7</v>
      </c>
      <c r="F42" s="172">
        <f>'Modeling Data'!R42</f>
        <v>33</v>
      </c>
      <c r="G42" s="172">
        <f>'Modeling Data'!S42</f>
        <v>710</v>
      </c>
      <c r="H42" s="172">
        <f>'Modeling Data'!T42</f>
        <v>1090</v>
      </c>
      <c r="I42" s="26">
        <f>'Modeling Data'!U42</f>
        <v>0.3</v>
      </c>
      <c r="J42" s="135">
        <f>'Modeling Data'!W42</f>
        <v>120</v>
      </c>
      <c r="K42" s="172">
        <f>'Modeling Data'!X42</f>
        <v>100</v>
      </c>
      <c r="L42" s="26">
        <f>'Modeling Data'!Y42</f>
        <v>2.2831050228310501E-2</v>
      </c>
      <c r="M42" s="26">
        <f>'Modeling Data'!Z42</f>
        <v>6.6210045662100453E-2</v>
      </c>
      <c r="N42" s="32">
        <f>'Modeling Data'!AA42</f>
        <v>0</v>
      </c>
      <c r="O42" s="177" t="str">
        <f>'Modeling Data'!AB42</f>
        <v>Use parent schedule</v>
      </c>
      <c r="P42" s="176">
        <f>'Modeling Data'!AC42</f>
        <v>0</v>
      </c>
      <c r="Q42" s="176" t="str">
        <f>'Modeling Data'!AE42</f>
        <v>Schedule is inherited</v>
      </c>
    </row>
    <row r="43" spans="1:17">
      <c r="A43" s="27" t="str">
        <f>'Modeling Data'!A43</f>
        <v>CS Audience Seating Area, Motion Picture Theater</v>
      </c>
      <c r="B43" s="134">
        <f>'Modeling Data'!G43</f>
        <v>1</v>
      </c>
      <c r="C43" s="169">
        <f>'Modeling Data'!H43</f>
        <v>0.1</v>
      </c>
      <c r="D43" s="26">
        <f>'Modeling Data'!I43</f>
        <v>0.74485358050420625</v>
      </c>
      <c r="E43" s="135">
        <f>'Modeling Data'!N43</f>
        <v>7</v>
      </c>
      <c r="F43" s="172">
        <f>'Modeling Data'!R43</f>
        <v>7</v>
      </c>
      <c r="G43" s="172">
        <f>'Modeling Data'!S43</f>
        <v>225</v>
      </c>
      <c r="H43" s="172">
        <f>'Modeling Data'!T43</f>
        <v>105</v>
      </c>
      <c r="I43" s="26">
        <f>'Modeling Data'!U43</f>
        <v>1.19</v>
      </c>
      <c r="J43" s="135">
        <f>'Modeling Data'!W43</f>
        <v>60</v>
      </c>
      <c r="K43" s="172">
        <f>'Modeling Data'!X43</f>
        <v>100</v>
      </c>
      <c r="L43" s="26">
        <f>'Modeling Data'!Y43</f>
        <v>2.2831050228310501E-2</v>
      </c>
      <c r="M43" s="26">
        <f>'Modeling Data'!Z43</f>
        <v>6.6210045662100453E-2</v>
      </c>
      <c r="N43" s="32">
        <f>'Modeling Data'!AA43</f>
        <v>0</v>
      </c>
      <c r="O43" s="177" t="str">
        <f>'Modeling Data'!AB43</f>
        <v>C-1 Assembly</v>
      </c>
      <c r="P43" s="176">
        <f>'Modeling Data'!AC43</f>
        <v>0</v>
      </c>
      <c r="Q43" s="176" t="str">
        <f>'Modeling Data'!AE43</f>
        <v>Convention center, exercise center, motion picture theature, performing arts theater, religious building, sports arena</v>
      </c>
    </row>
    <row r="44" spans="1:17">
      <c r="A44" s="27" t="str">
        <f>'Modeling Data'!A44</f>
        <v>CS Audience Seating Area, Penitentiary</v>
      </c>
      <c r="B44" s="134">
        <f>'Modeling Data'!G44</f>
        <v>1</v>
      </c>
      <c r="C44" s="169">
        <f>'Modeling Data'!H44</f>
        <v>0.1</v>
      </c>
      <c r="D44" s="26">
        <f>'Modeling Data'!I44</f>
        <v>0.74760799257268662</v>
      </c>
      <c r="E44" s="135">
        <f>'Modeling Data'!N44</f>
        <v>7</v>
      </c>
      <c r="F44" s="172">
        <f>'Modeling Data'!R44</f>
        <v>40</v>
      </c>
      <c r="G44" s="172">
        <f>'Modeling Data'!S44</f>
        <v>250</v>
      </c>
      <c r="H44" s="172">
        <f>'Modeling Data'!T44</f>
        <v>200</v>
      </c>
      <c r="I44" s="26">
        <f>'Modeling Data'!U44</f>
        <v>0.25</v>
      </c>
      <c r="J44" s="135">
        <f>'Modeling Data'!W44</f>
        <v>60</v>
      </c>
      <c r="K44" s="172">
        <f>'Modeling Data'!X44</f>
        <v>100</v>
      </c>
      <c r="L44" s="26">
        <f>'Modeling Data'!Y44</f>
        <v>2.2831050228310501E-2</v>
      </c>
      <c r="M44" s="26">
        <f>'Modeling Data'!Z44</f>
        <v>6.6210045662100453E-2</v>
      </c>
      <c r="N44" s="32">
        <f>'Modeling Data'!AA44</f>
        <v>0</v>
      </c>
      <c r="O44" s="177" t="str">
        <f>'Modeling Data'!AB44</f>
        <v>C-1 Assembly</v>
      </c>
      <c r="P44" s="176">
        <f>'Modeling Data'!AC44</f>
        <v>0</v>
      </c>
      <c r="Q44" s="176" t="str">
        <f>'Modeling Data'!AE44</f>
        <v>Convention center, exercise center, motion picture theature, performing arts theater, religious building, sports arena</v>
      </c>
    </row>
    <row r="45" spans="1:17">
      <c r="A45" s="27" t="str">
        <f>'Modeling Data'!A45</f>
        <v>CS Audience Seating Area, Performing Arts Theater</v>
      </c>
      <c r="B45" s="134">
        <f>'Modeling Data'!G45</f>
        <v>1</v>
      </c>
      <c r="C45" s="169">
        <f>'Modeling Data'!H45</f>
        <v>0.1</v>
      </c>
      <c r="D45" s="26">
        <f>'Modeling Data'!I45</f>
        <v>0.74485358050420625</v>
      </c>
      <c r="E45" s="135">
        <f>'Modeling Data'!N45</f>
        <v>7</v>
      </c>
      <c r="F45" s="172">
        <f>'Modeling Data'!R45</f>
        <v>14</v>
      </c>
      <c r="G45" s="172">
        <f>'Modeling Data'!S45</f>
        <v>225</v>
      </c>
      <c r="H45" s="172">
        <f>'Modeling Data'!T45</f>
        <v>105</v>
      </c>
      <c r="I45" s="26">
        <f>'Modeling Data'!U45</f>
        <v>0.76</v>
      </c>
      <c r="J45" s="135">
        <f>'Modeling Data'!W45</f>
        <v>60</v>
      </c>
      <c r="K45" s="172">
        <f>'Modeling Data'!X45</f>
        <v>100</v>
      </c>
      <c r="L45" s="26">
        <f>'Modeling Data'!Y45</f>
        <v>2.2831050228310501E-2</v>
      </c>
      <c r="M45" s="26">
        <f>'Modeling Data'!Z45</f>
        <v>6.6210045662100453E-2</v>
      </c>
      <c r="N45" s="32">
        <f>'Modeling Data'!AA45</f>
        <v>0</v>
      </c>
      <c r="O45" s="177" t="str">
        <f>'Modeling Data'!AB45</f>
        <v>C-1 Assembly</v>
      </c>
      <c r="P45" s="176">
        <f>'Modeling Data'!AC45</f>
        <v>0</v>
      </c>
      <c r="Q45" s="176" t="str">
        <f>'Modeling Data'!AE45</f>
        <v>Convention center, exercise center, motion picture theature, performing arts theater, religious building, sports arena</v>
      </c>
    </row>
    <row r="46" spans="1:17">
      <c r="A46" s="27" t="str">
        <f>'Modeling Data'!A46</f>
        <v>CS Audience Seating Area, Religious Building</v>
      </c>
      <c r="B46" s="134">
        <f>'Modeling Data'!G46</f>
        <v>1</v>
      </c>
      <c r="C46" s="169">
        <f>'Modeling Data'!H46</f>
        <v>0.1</v>
      </c>
      <c r="D46" s="26">
        <f>'Modeling Data'!I46</f>
        <v>0.73324325767498066</v>
      </c>
      <c r="E46" s="135">
        <f>'Modeling Data'!N46</f>
        <v>7</v>
      </c>
      <c r="F46" s="172">
        <f>'Modeling Data'!R46</f>
        <v>8</v>
      </c>
      <c r="G46" s="172">
        <f>'Modeling Data'!S46</f>
        <v>245</v>
      </c>
      <c r="H46" s="172">
        <f>'Modeling Data'!T46</f>
        <v>155</v>
      </c>
      <c r="I46" s="26">
        <f>'Modeling Data'!U46</f>
        <v>0.66</v>
      </c>
      <c r="J46" s="135">
        <f>'Modeling Data'!W46</f>
        <v>60</v>
      </c>
      <c r="K46" s="172">
        <f>'Modeling Data'!X46</f>
        <v>50</v>
      </c>
      <c r="L46" s="26">
        <f>'Modeling Data'!Y46</f>
        <v>2.2831050228310501E-2</v>
      </c>
      <c r="M46" s="26">
        <f>'Modeling Data'!Z46</f>
        <v>6.6210045662100453E-2</v>
      </c>
      <c r="N46" s="32">
        <f>'Modeling Data'!AA46</f>
        <v>0</v>
      </c>
      <c r="O46" s="177" t="str">
        <f>'Modeling Data'!AB46</f>
        <v>C-1 Assembly</v>
      </c>
      <c r="P46" s="176">
        <f>'Modeling Data'!AC46</f>
        <v>0</v>
      </c>
      <c r="Q46" s="176" t="str">
        <f>'Modeling Data'!AE46</f>
        <v>Convention center, exercise center, motion picture theature, performing arts theater, religious building, sports arena</v>
      </c>
    </row>
    <row r="47" spans="1:17">
      <c r="A47" s="27" t="str">
        <f>'Modeling Data'!A47</f>
        <v>CS Audience Seating Area, Sports Arena</v>
      </c>
      <c r="B47" s="134">
        <f>'Modeling Data'!G47</f>
        <v>1</v>
      </c>
      <c r="C47" s="169">
        <f>'Modeling Data'!H47</f>
        <v>0.1</v>
      </c>
      <c r="D47" s="26">
        <f>'Modeling Data'!I47</f>
        <v>0.74485358050420625</v>
      </c>
      <c r="E47" s="135">
        <f>'Modeling Data'!N47</f>
        <v>7</v>
      </c>
      <c r="F47" s="172">
        <f>'Modeling Data'!R47</f>
        <v>0</v>
      </c>
      <c r="G47" s="172">
        <f>'Modeling Data'!S47</f>
        <v>245</v>
      </c>
      <c r="H47" s="172">
        <f>'Modeling Data'!T47</f>
        <v>105</v>
      </c>
      <c r="I47" s="26">
        <f>'Modeling Data'!U47</f>
        <v>0.3</v>
      </c>
      <c r="J47" s="135">
        <f>'Modeling Data'!W47</f>
        <v>120</v>
      </c>
      <c r="K47" s="172">
        <f>'Modeling Data'!X47</f>
        <v>100</v>
      </c>
      <c r="L47" s="26">
        <f>'Modeling Data'!Y47</f>
        <v>2.2831050228310501E-2</v>
      </c>
      <c r="M47" s="26">
        <f>'Modeling Data'!Z47</f>
        <v>6.6210045662100453E-2</v>
      </c>
      <c r="N47" s="32">
        <f>'Modeling Data'!AA47</f>
        <v>0</v>
      </c>
      <c r="O47" s="177" t="str">
        <f>'Modeling Data'!AB47</f>
        <v>C-1 Assembly</v>
      </c>
      <c r="P47" s="176">
        <f>'Modeling Data'!AC47</f>
        <v>0</v>
      </c>
      <c r="Q47" s="176" t="str">
        <f>'Modeling Data'!AE47</f>
        <v>Convention center, exercise center, motion picture theature, performing arts theater, religious building, sports arena</v>
      </c>
    </row>
    <row r="48" spans="1:17">
      <c r="A48" s="27" t="str">
        <f>'Modeling Data'!A48</f>
        <v>CS Audience Seating Area, Transportation Facility</v>
      </c>
      <c r="B48" s="134">
        <f>'Modeling Data'!G48</f>
        <v>1</v>
      </c>
      <c r="C48" s="169">
        <f>'Modeling Data'!H48</f>
        <v>0.1</v>
      </c>
      <c r="D48" s="26">
        <f>'Modeling Data'!I48</f>
        <v>0.74760799257268662</v>
      </c>
      <c r="E48" s="135">
        <f>'Modeling Data'!N48</f>
        <v>7</v>
      </c>
      <c r="F48" s="172">
        <f>'Modeling Data'!R48</f>
        <v>10</v>
      </c>
      <c r="G48" s="172">
        <f>'Modeling Data'!S48</f>
        <v>225</v>
      </c>
      <c r="H48" s="172">
        <f>'Modeling Data'!T48</f>
        <v>105</v>
      </c>
      <c r="I48" s="26">
        <f>'Modeling Data'!U48</f>
        <v>0.81</v>
      </c>
      <c r="J48" s="135">
        <f>'Modeling Data'!W48</f>
        <v>120</v>
      </c>
      <c r="K48" s="172">
        <f>'Modeling Data'!X48</f>
        <v>215</v>
      </c>
      <c r="L48" s="26">
        <f>'Modeling Data'!Y48</f>
        <v>2.2831050228310501E-2</v>
      </c>
      <c r="M48" s="26">
        <f>'Modeling Data'!Z48</f>
        <v>6.6210045662100453E-2</v>
      </c>
      <c r="N48" s="32">
        <f>'Modeling Data'!AA48</f>
        <v>0</v>
      </c>
      <c r="O48" s="176" t="str">
        <f>'Modeling Data'!AB48</f>
        <v>C-2 Public</v>
      </c>
      <c r="P48" s="176">
        <f>'Modeling Data'!AC48</f>
        <v>0</v>
      </c>
      <c r="Q48" s="176" t="str">
        <f>'Modeling Data'!AE48</f>
        <v>Fire station, clinic, hospital, police station, transportation</v>
      </c>
    </row>
    <row r="49" spans="1:17">
      <c r="A49" s="27" t="str">
        <f>'Modeling Data'!A49</f>
        <v>CS Audience Seating Area, Other</v>
      </c>
      <c r="B49" s="134">
        <f>'Modeling Data'!G49</f>
        <v>1</v>
      </c>
      <c r="C49" s="169">
        <f>'Modeling Data'!H49</f>
        <v>0.1</v>
      </c>
      <c r="D49" s="26">
        <f>'Modeling Data'!I49</f>
        <v>0.74760799257268662</v>
      </c>
      <c r="E49" s="135">
        <f>'Modeling Data'!N49</f>
        <v>7</v>
      </c>
      <c r="F49" s="172" t="str">
        <f>'Modeling Data'!R49</f>
        <v>UWBD</v>
      </c>
      <c r="G49" s="172" t="str">
        <f>'Modeling Data'!S49</f>
        <v>UWBD</v>
      </c>
      <c r="H49" s="172" t="str">
        <f>'Modeling Data'!T49</f>
        <v>UWBD</v>
      </c>
      <c r="I49" s="26" t="str">
        <f>'Modeling Data'!U49</f>
        <v>UWBD</v>
      </c>
      <c r="J49" s="135">
        <f>'Modeling Data'!W49</f>
        <v>60</v>
      </c>
      <c r="K49" s="172">
        <f>'Modeling Data'!X49</f>
        <v>100</v>
      </c>
      <c r="L49" s="26">
        <f>'Modeling Data'!Y49</f>
        <v>2.2831050228310501E-2</v>
      </c>
      <c r="M49" s="26">
        <f>'Modeling Data'!Z49</f>
        <v>6.6210045662100453E-2</v>
      </c>
      <c r="N49" s="32">
        <f>'Modeling Data'!AA49</f>
        <v>0</v>
      </c>
      <c r="O49" s="177" t="str">
        <f>'Modeling Data'!AB49</f>
        <v>Use parent schedule</v>
      </c>
      <c r="P49" s="176">
        <f>'Modeling Data'!AC49</f>
        <v>0</v>
      </c>
      <c r="Q49" s="176" t="str">
        <f>'Modeling Data'!AE49</f>
        <v>Schedule is inherited</v>
      </c>
    </row>
    <row r="50" spans="1:17">
      <c r="A50" s="27" t="str">
        <f>'Modeling Data'!A50</f>
        <v>CS Atrium, Less than or equal to 40 ft</v>
      </c>
      <c r="B50" s="134">
        <f>'Modeling Data'!G50</f>
        <v>1</v>
      </c>
      <c r="C50" s="169">
        <f>'Modeling Data'!H50</f>
        <v>0.1</v>
      </c>
      <c r="D50" s="26" t="str">
        <f>'Modeling Data'!I50</f>
        <v>n.a.</v>
      </c>
      <c r="E50" s="135">
        <f>'Modeling Data'!N50</f>
        <v>7</v>
      </c>
      <c r="F50" s="172" t="str">
        <f>'Modeling Data'!R50</f>
        <v>UWBD</v>
      </c>
      <c r="G50" s="172" t="str">
        <f>'Modeling Data'!S50</f>
        <v>UWBD</v>
      </c>
      <c r="H50" s="172" t="str">
        <f>'Modeling Data'!T50</f>
        <v>UWBD</v>
      </c>
      <c r="I50" s="26" t="str">
        <f>'Modeling Data'!U50</f>
        <v>UWBD</v>
      </c>
      <c r="J50" s="135">
        <f>'Modeling Data'!W50</f>
        <v>120</v>
      </c>
      <c r="K50" s="172">
        <f>'Modeling Data'!X50</f>
        <v>0</v>
      </c>
      <c r="L50" s="26">
        <f>'Modeling Data'!Y50</f>
        <v>2.2831050228310501E-2</v>
      </c>
      <c r="M50" s="26">
        <f>'Modeling Data'!Z50</f>
        <v>6.6210045662100453E-2</v>
      </c>
      <c r="N50" s="33">
        <f>'Modeling Data'!AA50</f>
        <v>0</v>
      </c>
      <c r="O50" s="177" t="str">
        <f>'Modeling Data'!AB50</f>
        <v>Use parent schedule</v>
      </c>
      <c r="P50" s="176">
        <f>'Modeling Data'!AC50</f>
        <v>0</v>
      </c>
      <c r="Q50" s="176" t="str">
        <f>'Modeling Data'!AE50</f>
        <v>Schedule is inherited</v>
      </c>
    </row>
    <row r="51" spans="1:17">
      <c r="A51" s="27" t="str">
        <f>'Modeling Data'!A51</f>
        <v>CS Atrium, More than 40 ft</v>
      </c>
      <c r="B51" s="134">
        <f>'Modeling Data'!G51</f>
        <v>1</v>
      </c>
      <c r="C51" s="169">
        <f>'Modeling Data'!H51</f>
        <v>0.1</v>
      </c>
      <c r="D51" s="26" t="str">
        <f>'Modeling Data'!I51</f>
        <v>n.a.</v>
      </c>
      <c r="E51" s="135">
        <f>'Modeling Data'!N51</f>
        <v>7</v>
      </c>
      <c r="F51" s="172" t="str">
        <f>'Modeling Data'!R51</f>
        <v>UWBD</v>
      </c>
      <c r="G51" s="172" t="str">
        <f>'Modeling Data'!S51</f>
        <v>UWBD</v>
      </c>
      <c r="H51" s="172" t="str">
        <f>'Modeling Data'!T51</f>
        <v>UWBD</v>
      </c>
      <c r="I51" s="26" t="str">
        <f>'Modeling Data'!U51</f>
        <v>UWBD</v>
      </c>
      <c r="J51" s="135">
        <f>'Modeling Data'!W51</f>
        <v>120</v>
      </c>
      <c r="K51" s="172">
        <f>'Modeling Data'!X51</f>
        <v>0</v>
      </c>
      <c r="L51" s="26">
        <f>'Modeling Data'!Y51</f>
        <v>2.2831050228310501E-2</v>
      </c>
      <c r="M51" s="26">
        <f>'Modeling Data'!Z51</f>
        <v>6.6210045662100453E-2</v>
      </c>
      <c r="N51" s="33">
        <f>'Modeling Data'!AA51</f>
        <v>0</v>
      </c>
      <c r="O51" s="177" t="str">
        <f>'Modeling Data'!AB51</f>
        <v>Use parent schedule</v>
      </c>
      <c r="P51" s="176">
        <f>'Modeling Data'!AC51</f>
        <v>0</v>
      </c>
      <c r="Q51" s="176" t="str">
        <f>'Modeling Data'!AE51</f>
        <v>Schedule is inherited</v>
      </c>
    </row>
    <row r="52" spans="1:17">
      <c r="A52" s="27" t="str">
        <f>'Modeling Data'!A52</f>
        <v xml:space="preserve">CS Banking Activity Area, </v>
      </c>
      <c r="B52" s="134">
        <f>'Modeling Data'!G52</f>
        <v>1</v>
      </c>
      <c r="C52" s="169">
        <f>'Modeling Data'!H52</f>
        <v>0.1</v>
      </c>
      <c r="D52" s="26">
        <f>'Modeling Data'!I52</f>
        <v>1.7200786547923466</v>
      </c>
      <c r="E52" s="135">
        <f>'Modeling Data'!N52</f>
        <v>7</v>
      </c>
      <c r="F52" s="172">
        <f>'Modeling Data'!R52</f>
        <v>200</v>
      </c>
      <c r="G52" s="172">
        <f>'Modeling Data'!S52</f>
        <v>250</v>
      </c>
      <c r="H52" s="172">
        <f>'Modeling Data'!T52</f>
        <v>200</v>
      </c>
      <c r="I52" s="26">
        <f>'Modeling Data'!U52</f>
        <v>0.09</v>
      </c>
      <c r="J52" s="135">
        <f>'Modeling Data'!W52</f>
        <v>120</v>
      </c>
      <c r="K52" s="172">
        <f>'Modeling Data'!X52</f>
        <v>300</v>
      </c>
      <c r="L52" s="26">
        <f>'Modeling Data'!Y52</f>
        <v>0.12557077625570776</v>
      </c>
      <c r="M52" s="26">
        <f>'Modeling Data'!Z52</f>
        <v>5.3652968036529677E-2</v>
      </c>
      <c r="N52" s="32" t="str">
        <f>'Modeling Data'!AA52</f>
        <v xml:space="preserve">Non-Residential </v>
      </c>
      <c r="O52" s="177" t="str">
        <f>'Modeling Data'!AB52</f>
        <v>C-5 Office</v>
      </c>
      <c r="P52" s="176">
        <f>'Modeling Data'!AC52</f>
        <v>0</v>
      </c>
      <c r="Q52" s="176" t="str">
        <f>'Modeling Data'!AE52</f>
        <v>courthouse, office, post office, town hall</v>
      </c>
    </row>
    <row r="53" spans="1:17">
      <c r="A53" s="27" t="str">
        <f>'Modeling Data'!A53</f>
        <v>CS Classroom/Lecture/Training, Penitentiary</v>
      </c>
      <c r="B53" s="134">
        <f>'Modeling Data'!G53</f>
        <v>1</v>
      </c>
      <c r="C53" s="169" t="str">
        <f>'Modeling Data'!H53</f>
        <v>n.a.</v>
      </c>
      <c r="D53" s="26">
        <f>'Modeling Data'!I53</f>
        <v>0.58912884055837</v>
      </c>
      <c r="E53" s="135">
        <f>'Modeling Data'!N53</f>
        <v>7</v>
      </c>
      <c r="F53" s="172">
        <f>'Modeling Data'!R53</f>
        <v>40</v>
      </c>
      <c r="G53" s="172">
        <f>'Modeling Data'!S53</f>
        <v>250</v>
      </c>
      <c r="H53" s="172">
        <f>'Modeling Data'!T53</f>
        <v>200</v>
      </c>
      <c r="I53" s="26">
        <f>'Modeling Data'!U53</f>
        <v>0.25</v>
      </c>
      <c r="J53" s="135">
        <f>'Modeling Data'!W53</f>
        <v>120</v>
      </c>
      <c r="K53" s="172">
        <f>'Modeling Data'!X53</f>
        <v>215</v>
      </c>
      <c r="L53" s="26">
        <f>'Modeling Data'!Y53</f>
        <v>0.13698630136986303</v>
      </c>
      <c r="M53" s="26">
        <f>'Modeling Data'!Z53</f>
        <v>5.7077625570776253E-2</v>
      </c>
      <c r="N53" s="32" t="str">
        <f>'Modeling Data'!AA53</f>
        <v xml:space="preserve">Non-Residential </v>
      </c>
      <c r="O53" s="177" t="str">
        <f>'Modeling Data'!AB53</f>
        <v>Use parent schedule</v>
      </c>
      <c r="P53" s="176">
        <f>'Modeling Data'!AC53</f>
        <v>0</v>
      </c>
      <c r="Q53" s="176" t="str">
        <f>'Modeling Data'!AE53</f>
        <v>Schedule is inherited</v>
      </c>
    </row>
    <row r="54" spans="1:17">
      <c r="A54" s="27" t="str">
        <f>'Modeling Data'!A54</f>
        <v>CS Classroom/Lecture/Training, K-12, laboratory and shops</v>
      </c>
      <c r="B54" s="134">
        <f>'Modeling Data'!G54</f>
        <v>1</v>
      </c>
      <c r="C54" s="169">
        <f>'Modeling Data'!H54</f>
        <v>0.3</v>
      </c>
      <c r="D54" s="26">
        <f>'Modeling Data'!I54</f>
        <v>0.58912884055837</v>
      </c>
      <c r="E54" s="135">
        <f>'Modeling Data'!N54</f>
        <v>7</v>
      </c>
      <c r="F54" s="172">
        <f>'Modeling Data'!R54</f>
        <v>40</v>
      </c>
      <c r="G54" s="172">
        <f>'Modeling Data'!S54</f>
        <v>250</v>
      </c>
      <c r="H54" s="172">
        <f>'Modeling Data'!T54</f>
        <v>200</v>
      </c>
      <c r="I54" s="26">
        <f>'Modeling Data'!U54</f>
        <v>0.47</v>
      </c>
      <c r="J54" s="135">
        <f>'Modeling Data'!W54</f>
        <v>120</v>
      </c>
      <c r="K54" s="172">
        <f>'Modeling Data'!X54</f>
        <v>215</v>
      </c>
      <c r="L54" s="26">
        <f>'Modeling Data'!Y54</f>
        <v>0.13698630136986303</v>
      </c>
      <c r="M54" s="26">
        <f>'Modeling Data'!Z54</f>
        <v>5.7077625570776253E-2</v>
      </c>
      <c r="N54" s="32" t="str">
        <f>'Modeling Data'!AA54</f>
        <v xml:space="preserve">Non-Residential </v>
      </c>
      <c r="O54" s="177" t="str">
        <f>'Modeling Data'!AB54</f>
        <v>Use parent schedule</v>
      </c>
      <c r="P54" s="176">
        <f>'Modeling Data'!AC54</f>
        <v>0</v>
      </c>
      <c r="Q54" s="176" t="str">
        <f>'Modeling Data'!AE54</f>
        <v>Schedule is inherited</v>
      </c>
    </row>
    <row r="55" spans="1:17">
      <c r="A55" s="27" t="str">
        <f>'Modeling Data'!A55</f>
        <v>CS Classroom/Lecture/Training, Other</v>
      </c>
      <c r="B55" s="134">
        <f>'Modeling Data'!G55</f>
        <v>1</v>
      </c>
      <c r="C55" s="169" t="str">
        <f>'Modeling Data'!H55</f>
        <v>n.a.</v>
      </c>
      <c r="D55" s="26">
        <f>'Modeling Data'!I55</f>
        <v>0.58912884055837</v>
      </c>
      <c r="E55" s="135">
        <f>'Modeling Data'!N55</f>
        <v>7</v>
      </c>
      <c r="F55" s="172" t="str">
        <f>'Modeling Data'!R55</f>
        <v>UWBD</v>
      </c>
      <c r="G55" s="172" t="str">
        <f>'Modeling Data'!S55</f>
        <v>UWBD</v>
      </c>
      <c r="H55" s="172" t="str">
        <f>'Modeling Data'!T55</f>
        <v>UWBD</v>
      </c>
      <c r="I55" s="26" t="str">
        <f>'Modeling Data'!U55</f>
        <v>UWBD</v>
      </c>
      <c r="J55" s="135">
        <f>'Modeling Data'!W55</f>
        <v>120</v>
      </c>
      <c r="K55" s="172">
        <f>'Modeling Data'!X55</f>
        <v>215</v>
      </c>
      <c r="L55" s="26">
        <f>'Modeling Data'!Y55</f>
        <v>0.13698630136986303</v>
      </c>
      <c r="M55" s="26">
        <f>'Modeling Data'!Z55</f>
        <v>5.7077625570776253E-2</v>
      </c>
      <c r="N55" s="32" t="str">
        <f>'Modeling Data'!AA55</f>
        <v>Residential</v>
      </c>
      <c r="O55" s="177" t="str">
        <f>'Modeling Data'!AB55</f>
        <v>Use parent schedule</v>
      </c>
      <c r="P55" s="176">
        <f>'Modeling Data'!AC55</f>
        <v>0</v>
      </c>
      <c r="Q55" s="176" t="str">
        <f>'Modeling Data'!AE55</f>
        <v>Schedule is inherited</v>
      </c>
    </row>
    <row r="56" spans="1:17">
      <c r="A56" s="27" t="str">
        <f>'Modeling Data'!A56</f>
        <v xml:space="preserve">CS Conference/Meeting/Multipurpose, </v>
      </c>
      <c r="B56" s="134">
        <f>'Modeling Data'!G56</f>
        <v>1</v>
      </c>
      <c r="C56" s="169" t="str">
        <f>'Modeling Data'!H56</f>
        <v>n.a.</v>
      </c>
      <c r="D56" s="26">
        <f>'Modeling Data'!I56</f>
        <v>0.73324325767498066</v>
      </c>
      <c r="E56" s="135">
        <f>'Modeling Data'!N56</f>
        <v>7</v>
      </c>
      <c r="F56" s="172" t="str">
        <f>'Modeling Data'!R56</f>
        <v>UWBD</v>
      </c>
      <c r="G56" s="172" t="str">
        <f>'Modeling Data'!S56</f>
        <v>UWBD</v>
      </c>
      <c r="H56" s="172" t="str">
        <f>'Modeling Data'!T56</f>
        <v>UWBD</v>
      </c>
      <c r="I56" s="26" t="str">
        <f>'Modeling Data'!U56</f>
        <v>UWBD</v>
      </c>
      <c r="J56" s="135">
        <f>'Modeling Data'!W56</f>
        <v>60</v>
      </c>
      <c r="K56" s="172">
        <f>'Modeling Data'!X56</f>
        <v>150</v>
      </c>
      <c r="L56" s="26">
        <f>'Modeling Data'!Y56</f>
        <v>0.29680365296803651</v>
      </c>
      <c r="M56" s="26">
        <f>'Modeling Data'!Z56</f>
        <v>5.2511415525114152E-2</v>
      </c>
      <c r="N56" s="32">
        <f>'Modeling Data'!AA56</f>
        <v>0</v>
      </c>
      <c r="O56" s="177" t="str">
        <f>'Modeling Data'!AB56</f>
        <v>Use parent schedule</v>
      </c>
      <c r="P56" s="176">
        <f>'Modeling Data'!AC56</f>
        <v>0</v>
      </c>
      <c r="Q56" s="176" t="str">
        <f>'Modeling Data'!AE56</f>
        <v>Schedule is inherited</v>
      </c>
    </row>
    <row r="57" spans="1:17">
      <c r="A57" s="27" t="str">
        <f>'Modeling Data'!A57</f>
        <v xml:space="preserve">CS Confinment Cells, </v>
      </c>
      <c r="B57" s="134">
        <f>'Modeling Data'!G57</f>
        <v>1</v>
      </c>
      <c r="C57" s="169">
        <f>'Modeling Data'!H57</f>
        <v>0.1</v>
      </c>
      <c r="D57" s="26">
        <f>'Modeling Data'!I57</f>
        <v>1.4928322661656475</v>
      </c>
      <c r="E57" s="135">
        <f>'Modeling Data'!N57</f>
        <v>7</v>
      </c>
      <c r="F57" s="172">
        <f>'Modeling Data'!R57</f>
        <v>40</v>
      </c>
      <c r="G57" s="172">
        <f>'Modeling Data'!S57</f>
        <v>250</v>
      </c>
      <c r="H57" s="172">
        <f>'Modeling Data'!T57</f>
        <v>200</v>
      </c>
      <c r="I57" s="26">
        <f>'Modeling Data'!U57</f>
        <v>0.25</v>
      </c>
      <c r="J57" s="135">
        <f>'Modeling Data'!W57</f>
        <v>120</v>
      </c>
      <c r="K57" s="172">
        <f>'Modeling Data'!X57</f>
        <v>1110</v>
      </c>
      <c r="L57" s="26">
        <f>'Modeling Data'!Y57</f>
        <v>0.69634703196347048</v>
      </c>
      <c r="M57" s="26">
        <f>'Modeling Data'!Z57</f>
        <v>0.10273972602739725</v>
      </c>
      <c r="N57" s="32">
        <f>'Modeling Data'!AA57</f>
        <v>0</v>
      </c>
      <c r="O57" s="177" t="str">
        <f>'Modeling Data'!AB57</f>
        <v>C-3 Hotel Motel</v>
      </c>
      <c r="P57" s="176">
        <f>'Modeling Data'!AC57</f>
        <v>0</v>
      </c>
      <c r="Q57" s="176" t="str">
        <f>'Modeling Data'!AE57</f>
        <v>Hotel, motel, penitentiary</v>
      </c>
    </row>
    <row r="58" spans="1:17">
      <c r="A58" s="27" t="str">
        <f>'Modeling Data'!A58</f>
        <v xml:space="preserve">CS Copy/Print Room, </v>
      </c>
      <c r="B58" s="134">
        <f>'Modeling Data'!G58</f>
        <v>1</v>
      </c>
      <c r="C58" s="169">
        <f>'Modeling Data'!H58</f>
        <v>0.1</v>
      </c>
      <c r="D58" s="26" t="str">
        <f>'Modeling Data'!I58</f>
        <v>UWBD</v>
      </c>
      <c r="E58" s="135">
        <f>'Modeling Data'!N58</f>
        <v>7</v>
      </c>
      <c r="F58" s="172" t="str">
        <f>'Modeling Data'!R58</f>
        <v>UWBD</v>
      </c>
      <c r="G58" s="172" t="str">
        <f>'Modeling Data'!S58</f>
        <v>UWBD</v>
      </c>
      <c r="H58" s="172" t="str">
        <f>'Modeling Data'!T58</f>
        <v>UWBD</v>
      </c>
      <c r="I58" s="26" t="str">
        <f>'Modeling Data'!U58</f>
        <v>UWBD</v>
      </c>
      <c r="J58" s="135" t="str">
        <f>'Modeling Data'!W58</f>
        <v>n.a.</v>
      </c>
      <c r="K58" s="172" t="str">
        <f>'Modeling Data'!X58</f>
        <v>n.a.</v>
      </c>
      <c r="L58" s="26" t="str">
        <f>'Modeling Data'!Y58</f>
        <v>n.a.</v>
      </c>
      <c r="M58" s="26" t="str">
        <f>'Modeling Data'!Z58</f>
        <v>n.a.</v>
      </c>
      <c r="N58" s="32" t="str">
        <f>'Modeling Data'!AA58</f>
        <v xml:space="preserve">Non-Residential </v>
      </c>
      <c r="O58" s="177" t="str">
        <f>'Modeling Data'!AB58</f>
        <v>Use parent schedule</v>
      </c>
      <c r="P58" s="176">
        <f>'Modeling Data'!AC58</f>
        <v>0</v>
      </c>
      <c r="Q58" s="176" t="str">
        <f>'Modeling Data'!AE58</f>
        <v>Schedule is inherited</v>
      </c>
    </row>
    <row r="59" spans="1:17">
      <c r="A59" s="27" t="str">
        <f>'Modeling Data'!A59</f>
        <v>CS Corridor, Assisted Living</v>
      </c>
      <c r="B59" s="134">
        <f>'Modeling Data'!G59</f>
        <v>1</v>
      </c>
      <c r="C59" s="169">
        <f>'Modeling Data'!H59</f>
        <v>0.25</v>
      </c>
      <c r="D59" s="26">
        <f>'Modeling Data'!I59</f>
        <v>1.4046493036603716</v>
      </c>
      <c r="E59" s="135">
        <f>'Modeling Data'!N59</f>
        <v>7</v>
      </c>
      <c r="F59" s="172" t="str">
        <f>'Modeling Data'!R59</f>
        <v>UWBD</v>
      </c>
      <c r="G59" s="172" t="str">
        <f>'Modeling Data'!S59</f>
        <v>UWBD</v>
      </c>
      <c r="H59" s="172" t="str">
        <f>'Modeling Data'!T59</f>
        <v>UWBD</v>
      </c>
      <c r="I59" s="26" t="str">
        <f>'Modeling Data'!U59</f>
        <v>UWBD</v>
      </c>
      <c r="J59" s="135">
        <f>'Modeling Data'!W59</f>
        <v>0</v>
      </c>
      <c r="K59" s="172">
        <f>'Modeling Data'!X59</f>
        <v>0</v>
      </c>
      <c r="L59" s="26">
        <f>'Modeling Data'!Y59</f>
        <v>0.69634703196347048</v>
      </c>
      <c r="M59" s="26">
        <f>'Modeling Data'!Z59</f>
        <v>0.10273972602739725</v>
      </c>
      <c r="N59" s="32" t="str">
        <f>'Modeling Data'!AA59</f>
        <v xml:space="preserve">Non-Residential </v>
      </c>
      <c r="O59" s="206" t="str">
        <f>'Modeling Data'!AB59</f>
        <v>Use parent schedule</v>
      </c>
      <c r="P59" s="176">
        <f>'Modeling Data'!AC59</f>
        <v>0</v>
      </c>
      <c r="Q59" s="176" t="str">
        <f>'Modeling Data'!AE59</f>
        <v>Schedule is inherited</v>
      </c>
    </row>
    <row r="60" spans="1:17">
      <c r="A60" s="27" t="str">
        <f>'Modeling Data'!A60</f>
        <v>CS Corridor, Hospital</v>
      </c>
      <c r="B60" s="134">
        <f>'Modeling Data'!G60</f>
        <v>1</v>
      </c>
      <c r="C60" s="169">
        <f>'Modeling Data'!H60</f>
        <v>0.25</v>
      </c>
      <c r="D60" s="26">
        <f>'Modeling Data'!I60</f>
        <v>1.2488271893219809</v>
      </c>
      <c r="E60" s="135">
        <f>'Modeling Data'!N60</f>
        <v>7</v>
      </c>
      <c r="F60" s="172" t="str">
        <f>'Modeling Data'!R60</f>
        <v>UWBD</v>
      </c>
      <c r="G60" s="172" t="str">
        <f>'Modeling Data'!S60</f>
        <v>UWBD</v>
      </c>
      <c r="H60" s="172" t="str">
        <f>'Modeling Data'!T60</f>
        <v>UWBD</v>
      </c>
      <c r="I60" s="26" t="str">
        <f>'Modeling Data'!U60</f>
        <v>UWBD</v>
      </c>
      <c r="J60" s="135">
        <f>'Modeling Data'!W60</f>
        <v>0</v>
      </c>
      <c r="K60" s="172">
        <f>'Modeling Data'!X60</f>
        <v>0</v>
      </c>
      <c r="L60" s="26">
        <f>'Modeling Data'!Y60</f>
        <v>1.1301369863013697</v>
      </c>
      <c r="M60" s="26">
        <f>'Modeling Data'!Z60</f>
        <v>8.1050228310502279E-2</v>
      </c>
      <c r="N60" s="32" t="str">
        <f>'Modeling Data'!AA60</f>
        <v xml:space="preserve">Non-Residential </v>
      </c>
      <c r="O60" s="177" t="str">
        <f>'Modeling Data'!AB60</f>
        <v>C-2 Public</v>
      </c>
      <c r="P60" s="176">
        <f>'Modeling Data'!AC60</f>
        <v>0</v>
      </c>
      <c r="Q60" s="176" t="str">
        <f>'Modeling Data'!AE60</f>
        <v>Fire station, clinic, hospital, police station, transportation</v>
      </c>
    </row>
    <row r="61" spans="1:17">
      <c r="A61" s="27" t="str">
        <f>'Modeling Data'!A61</f>
        <v>CS Corridor, Manufacturing</v>
      </c>
      <c r="B61" s="134">
        <f>'Modeling Data'!G61</f>
        <v>1</v>
      </c>
      <c r="C61" s="169">
        <f>'Modeling Data'!H61</f>
        <v>0.25</v>
      </c>
      <c r="D61" s="26">
        <f>'Modeling Data'!I61</f>
        <v>0.34481488715257669</v>
      </c>
      <c r="E61" s="135">
        <f>'Modeling Data'!N61</f>
        <v>7</v>
      </c>
      <c r="F61" s="172">
        <f>'Modeling Data'!R61</f>
        <v>143</v>
      </c>
      <c r="G61" s="172">
        <f>'Modeling Data'!S61</f>
        <v>580</v>
      </c>
      <c r="H61" s="172">
        <f>'Modeling Data'!T61</f>
        <v>870</v>
      </c>
      <c r="I61" s="26">
        <f>'Modeling Data'!U61</f>
        <v>0.25</v>
      </c>
      <c r="J61" s="135">
        <f>'Modeling Data'!W61</f>
        <v>0</v>
      </c>
      <c r="K61" s="172">
        <f>'Modeling Data'!X61</f>
        <v>0</v>
      </c>
      <c r="L61" s="26">
        <f>'Modeling Data'!Y61</f>
        <v>2.2831050228310501E-2</v>
      </c>
      <c r="M61" s="26">
        <f>'Modeling Data'!Z61</f>
        <v>6.6210045662100453E-2</v>
      </c>
      <c r="N61" s="32" t="str">
        <f>'Modeling Data'!AA61</f>
        <v xml:space="preserve">Non-Residential </v>
      </c>
      <c r="O61" s="177" t="str">
        <f>'Modeling Data'!AB61</f>
        <v>C-4 Manufacturing</v>
      </c>
      <c r="P61" s="176">
        <f>'Modeling Data'!AC61</f>
        <v>0</v>
      </c>
      <c r="Q61" s="176" t="str">
        <f>'Modeling Data'!AE61</f>
        <v>Automotive facility, workshop, manufacturing facility</v>
      </c>
    </row>
    <row r="62" spans="1:17">
      <c r="A62" s="27" t="str">
        <f>'Modeling Data'!A62</f>
        <v>CS Corridor, Other</v>
      </c>
      <c r="B62" s="134">
        <f>'Modeling Data'!G62</f>
        <v>1</v>
      </c>
      <c r="C62" s="169">
        <f>'Modeling Data'!H62</f>
        <v>0.25</v>
      </c>
      <c r="D62" s="26" t="str">
        <f>'Modeling Data'!I62</f>
        <v>UWBD</v>
      </c>
      <c r="E62" s="135">
        <f>'Modeling Data'!N62</f>
        <v>7</v>
      </c>
      <c r="F62" s="172" t="str">
        <f>'Modeling Data'!R62</f>
        <v>UWBD</v>
      </c>
      <c r="G62" s="172" t="str">
        <f>'Modeling Data'!S62</f>
        <v>UWBD</v>
      </c>
      <c r="H62" s="172" t="str">
        <f>'Modeling Data'!T62</f>
        <v>UWBD</v>
      </c>
      <c r="I62" s="26" t="str">
        <f>'Modeling Data'!U62</f>
        <v>UWBD</v>
      </c>
      <c r="J62" s="135">
        <f>'Modeling Data'!W62</f>
        <v>0</v>
      </c>
      <c r="K62" s="172">
        <f>'Modeling Data'!X62</f>
        <v>0</v>
      </c>
      <c r="L62" s="26">
        <f>'Modeling Data'!Y62</f>
        <v>2.2831050228310501E-2</v>
      </c>
      <c r="M62" s="26">
        <f>'Modeling Data'!Z62</f>
        <v>6.6210045662100453E-2</v>
      </c>
      <c r="N62" s="32" t="str">
        <f>'Modeling Data'!AA62</f>
        <v xml:space="preserve">Non-Residential </v>
      </c>
      <c r="O62" s="177" t="str">
        <f>'Modeling Data'!AB62</f>
        <v>Use parent schedule</v>
      </c>
      <c r="P62" s="176">
        <f>'Modeling Data'!AC62</f>
        <v>0</v>
      </c>
      <c r="Q62" s="176" t="str">
        <f>'Modeling Data'!AE62</f>
        <v>Schedule is inherited</v>
      </c>
    </row>
    <row r="63" spans="1:17">
      <c r="A63" s="27" t="str">
        <f>'Modeling Data'!A63</f>
        <v xml:space="preserve">CS Courtroom, </v>
      </c>
      <c r="B63" s="134">
        <f>'Modeling Data'!G63</f>
        <v>1</v>
      </c>
      <c r="C63" s="169">
        <f>'Modeling Data'!H63</f>
        <v>0.1</v>
      </c>
      <c r="D63" s="26">
        <f>'Modeling Data'!I63</f>
        <v>1.4928322661656475</v>
      </c>
      <c r="E63" s="135">
        <f>'Modeling Data'!N63</f>
        <v>7</v>
      </c>
      <c r="F63" s="172">
        <f>'Modeling Data'!R63</f>
        <v>14</v>
      </c>
      <c r="G63" s="172">
        <f>'Modeling Data'!S63</f>
        <v>250</v>
      </c>
      <c r="H63" s="172">
        <f>'Modeling Data'!T63</f>
        <v>200</v>
      </c>
      <c r="I63" s="26">
        <f>'Modeling Data'!U63</f>
        <v>0.41</v>
      </c>
      <c r="J63" s="135">
        <f>'Modeling Data'!W63</f>
        <v>120</v>
      </c>
      <c r="K63" s="172">
        <f>'Modeling Data'!X63</f>
        <v>100</v>
      </c>
      <c r="L63" s="26">
        <f>'Modeling Data'!Y63</f>
        <v>0.17123287671232876</v>
      </c>
      <c r="M63" s="26">
        <f>'Modeling Data'!Z63</f>
        <v>4.6803652968036527E-2</v>
      </c>
      <c r="N63" s="32" t="str">
        <f>'Modeling Data'!AA63</f>
        <v xml:space="preserve">Non-Residential </v>
      </c>
      <c r="O63" s="177" t="str">
        <f>'Modeling Data'!AB63</f>
        <v>C-5 Office</v>
      </c>
      <c r="P63" s="176">
        <f>'Modeling Data'!AC63</f>
        <v>0</v>
      </c>
      <c r="Q63" s="176" t="str">
        <f>'Modeling Data'!AE63</f>
        <v>courthouse, office, post office, town hall</v>
      </c>
    </row>
    <row r="64" spans="1:17">
      <c r="A64" s="27" t="str">
        <f>'Modeling Data'!A64</f>
        <v xml:space="preserve">CS Computer Room, </v>
      </c>
      <c r="B64" s="134">
        <f>'Modeling Data'!G64</f>
        <v>1</v>
      </c>
      <c r="C64" s="169">
        <f>'Modeling Data'!H64</f>
        <v>0.35</v>
      </c>
      <c r="D64" s="26" t="str">
        <f>'Modeling Data'!I64</f>
        <v>n.a.</v>
      </c>
      <c r="E64" s="135">
        <f>'Modeling Data'!N64</f>
        <v>7</v>
      </c>
      <c r="F64" s="172" t="str">
        <f>'Modeling Data'!R64</f>
        <v>n. a.</v>
      </c>
      <c r="G64" s="172" t="str">
        <f>'Modeling Data'!S64</f>
        <v>n. a.</v>
      </c>
      <c r="H64" s="172" t="str">
        <f>'Modeling Data'!T64</f>
        <v>n. a.</v>
      </c>
      <c r="I64" s="26" t="str">
        <f>'Modeling Data'!U64</f>
        <v>n. a.</v>
      </c>
      <c r="J64" s="135">
        <f>'Modeling Data'!W64</f>
        <v>120</v>
      </c>
      <c r="K64" s="172" t="str">
        <f>'Modeling Data'!X64</f>
        <v>n.a.</v>
      </c>
      <c r="L64" s="26" t="str">
        <f>'Modeling Data'!Y64</f>
        <v>n.a.</v>
      </c>
      <c r="M64" s="26" t="str">
        <f>'Modeling Data'!Z64</f>
        <v>n.a.</v>
      </c>
      <c r="N64" s="32" t="str">
        <f>'Modeling Data'!AA64</f>
        <v xml:space="preserve">Non-Residential </v>
      </c>
      <c r="O64" s="177" t="str">
        <f>'Modeling Data'!AB64</f>
        <v>C-13 Data Center</v>
      </c>
      <c r="P64" s="176">
        <f>'Modeling Data'!AC64</f>
        <v>0</v>
      </c>
      <c r="Q64" s="176" t="str">
        <f>'Modeling Data'!AE64</f>
        <v>Data center</v>
      </c>
    </row>
    <row r="65" spans="1:17">
      <c r="A65" s="27" t="str">
        <f>'Modeling Data'!A65</f>
        <v>CS Dining Area, Penitentiary</v>
      </c>
      <c r="B65" s="134">
        <f>'Modeling Data'!G65</f>
        <v>1</v>
      </c>
      <c r="C65" s="169">
        <f>'Modeling Data'!H65</f>
        <v>0.35</v>
      </c>
      <c r="D65" s="26">
        <f>'Modeling Data'!I65</f>
        <v>1.2629966462352749</v>
      </c>
      <c r="E65" s="135">
        <f>'Modeling Data'!N65</f>
        <v>7</v>
      </c>
      <c r="F65" s="172">
        <f>'Modeling Data'!R65</f>
        <v>10</v>
      </c>
      <c r="G65" s="172">
        <f>'Modeling Data'!S65</f>
        <v>275</v>
      </c>
      <c r="H65" s="172">
        <f>'Modeling Data'!T65</f>
        <v>275</v>
      </c>
      <c r="I65" s="26">
        <f>'Modeling Data'!U65</f>
        <v>0.93</v>
      </c>
      <c r="J65" s="135">
        <f>'Modeling Data'!W65</f>
        <v>385</v>
      </c>
      <c r="K65" s="172">
        <f>'Modeling Data'!X65</f>
        <v>400</v>
      </c>
      <c r="L65" s="26">
        <f>'Modeling Data'!Y65</f>
        <v>17.534246575342468</v>
      </c>
      <c r="M65" s="26">
        <f>'Modeling Data'!Z65</f>
        <v>1.1267123287671232</v>
      </c>
      <c r="N65" s="32" t="str">
        <f>'Modeling Data'!AA65</f>
        <v xml:space="preserve">Non-Residential </v>
      </c>
      <c r="O65" s="177" t="str">
        <f>'Modeling Data'!AB65</f>
        <v>C-7 Restaurant</v>
      </c>
      <c r="P65" s="176">
        <f>'Modeling Data'!AC65</f>
        <v>0</v>
      </c>
      <c r="Q65" s="176" t="str">
        <f>'Modeling Data'!AE65</f>
        <v>Cafeteria, fast food, family dining, bar, lounge</v>
      </c>
    </row>
    <row r="66" spans="1:17">
      <c r="A66" s="27" t="str">
        <f>'Modeling Data'!A66</f>
        <v>CS Dining Area, Assisted Living</v>
      </c>
      <c r="B66" s="134">
        <f>'Modeling Data'!G66</f>
        <v>1</v>
      </c>
      <c r="C66" s="169">
        <f>'Modeling Data'!H66</f>
        <v>0.35</v>
      </c>
      <c r="D66" s="26">
        <f>'Modeling Data'!I66</f>
        <v>1.3160573887824656</v>
      </c>
      <c r="E66" s="135">
        <f>'Modeling Data'!N66</f>
        <v>7</v>
      </c>
      <c r="F66" s="172">
        <f>'Modeling Data'!R66</f>
        <v>10</v>
      </c>
      <c r="G66" s="172">
        <f>'Modeling Data'!S66</f>
        <v>275</v>
      </c>
      <c r="H66" s="172">
        <f>'Modeling Data'!T66</f>
        <v>275</v>
      </c>
      <c r="I66" s="26">
        <f>'Modeling Data'!U66</f>
        <v>0.93</v>
      </c>
      <c r="J66" s="135">
        <f>'Modeling Data'!W66</f>
        <v>385</v>
      </c>
      <c r="K66" s="172">
        <f>'Modeling Data'!X66</f>
        <v>300</v>
      </c>
      <c r="L66" s="26">
        <f>'Modeling Data'!Y66</f>
        <v>17.534246575342468</v>
      </c>
      <c r="M66" s="26">
        <f>'Modeling Data'!Z66</f>
        <v>1.1267123287671232</v>
      </c>
      <c r="N66" s="32" t="str">
        <f>'Modeling Data'!AA66</f>
        <v xml:space="preserve">Non-Residential </v>
      </c>
      <c r="O66" s="177" t="str">
        <f>'Modeling Data'!AB66</f>
        <v>C-7 Restaurant</v>
      </c>
      <c r="P66" s="176">
        <f>'Modeling Data'!AC66</f>
        <v>0</v>
      </c>
      <c r="Q66" s="176" t="str">
        <f>'Modeling Data'!AE66</f>
        <v>Cafeteria, fast food, family dining, bar, lounge</v>
      </c>
    </row>
    <row r="67" spans="1:17">
      <c r="A67" s="27" t="str">
        <f>'Modeling Data'!A67</f>
        <v xml:space="preserve">CS Dining Area, Bar Lounge/Leisure   </v>
      </c>
      <c r="B67" s="134">
        <f>'Modeling Data'!G67</f>
        <v>1</v>
      </c>
      <c r="C67" s="169">
        <f>'Modeling Data'!H67</f>
        <v>0.35</v>
      </c>
      <c r="D67" s="26">
        <f>'Modeling Data'!I67</f>
        <v>1.2629966462352749</v>
      </c>
      <c r="E67" s="135">
        <f>'Modeling Data'!N67</f>
        <v>7</v>
      </c>
      <c r="F67" s="172">
        <f>'Modeling Data'!R67</f>
        <v>10</v>
      </c>
      <c r="G67" s="172">
        <f>'Modeling Data'!S67</f>
        <v>275</v>
      </c>
      <c r="H67" s="172">
        <f>'Modeling Data'!T67</f>
        <v>275</v>
      </c>
      <c r="I67" s="26">
        <f>'Modeling Data'!U67</f>
        <v>0.93</v>
      </c>
      <c r="J67" s="135">
        <f>'Modeling Data'!W67</f>
        <v>120</v>
      </c>
      <c r="K67" s="172">
        <f>'Modeling Data'!X67</f>
        <v>300</v>
      </c>
      <c r="L67" s="26">
        <f>'Modeling Data'!Y67</f>
        <v>17.534246575342468</v>
      </c>
      <c r="M67" s="26">
        <f>'Modeling Data'!Z67</f>
        <v>1.1267123287671232</v>
      </c>
      <c r="N67" s="32" t="str">
        <f>'Modeling Data'!AA67</f>
        <v xml:space="preserve">Non-Residential </v>
      </c>
      <c r="O67" s="177" t="str">
        <f>'Modeling Data'!AB67</f>
        <v>C-7 Restaurant</v>
      </c>
      <c r="P67" s="176">
        <f>'Modeling Data'!AC67</f>
        <v>0</v>
      </c>
      <c r="Q67" s="176" t="str">
        <f>'Modeling Data'!AE67</f>
        <v>Cafeteria, fast food, family dining, bar, lounge</v>
      </c>
    </row>
    <row r="68" spans="1:17">
      <c r="A68" s="27" t="str">
        <f>'Modeling Data'!A68</f>
        <v xml:space="preserve">CS Dining Area, Cafeteria or Fast Food </v>
      </c>
      <c r="B68" s="134">
        <f>'Modeling Data'!G68</f>
        <v>1</v>
      </c>
      <c r="C68" s="169">
        <f>'Modeling Data'!H68</f>
        <v>0.35</v>
      </c>
      <c r="D68" s="26">
        <f>'Modeling Data'!I68</f>
        <v>1.3683549857758452</v>
      </c>
      <c r="E68" s="135">
        <f>'Modeling Data'!N68</f>
        <v>7</v>
      </c>
      <c r="F68" s="172">
        <f>'Modeling Data'!R68</f>
        <v>10</v>
      </c>
      <c r="G68" s="172">
        <f>'Modeling Data'!S68</f>
        <v>275</v>
      </c>
      <c r="H68" s="172">
        <f>'Modeling Data'!T68</f>
        <v>275</v>
      </c>
      <c r="I68" s="26">
        <f>'Modeling Data'!U68</f>
        <v>0.93</v>
      </c>
      <c r="J68" s="135">
        <f>'Modeling Data'!W68</f>
        <v>385</v>
      </c>
      <c r="K68" s="172">
        <f>'Modeling Data'!X68</f>
        <v>400</v>
      </c>
      <c r="L68" s="26">
        <f>'Modeling Data'!Y68</f>
        <v>17.534246575342468</v>
      </c>
      <c r="M68" s="26">
        <f>'Modeling Data'!Z68</f>
        <v>1.1267123287671232</v>
      </c>
      <c r="N68" s="32" t="str">
        <f>'Modeling Data'!AA68</f>
        <v>Residential</v>
      </c>
      <c r="O68" s="177" t="str">
        <f>'Modeling Data'!AB68</f>
        <v>C-7 Restaurant</v>
      </c>
      <c r="P68" s="176">
        <f>'Modeling Data'!AC68</f>
        <v>0</v>
      </c>
      <c r="Q68" s="176" t="str">
        <f>'Modeling Data'!AE68</f>
        <v>Cafeteria, fast food, family dining, bar, lounge</v>
      </c>
    </row>
    <row r="69" spans="1:17">
      <c r="A69" s="27" t="str">
        <f>'Modeling Data'!A69</f>
        <v xml:space="preserve">CS Dining Area, Family Dining  </v>
      </c>
      <c r="B69" s="134">
        <f>'Modeling Data'!G69</f>
        <v>1</v>
      </c>
      <c r="C69" s="169">
        <f>'Modeling Data'!H69</f>
        <v>0.35</v>
      </c>
      <c r="D69" s="26">
        <f>'Modeling Data'!I69</f>
        <v>1.3160573887824656</v>
      </c>
      <c r="E69" s="135">
        <f>'Modeling Data'!N69</f>
        <v>7</v>
      </c>
      <c r="F69" s="172">
        <f>'Modeling Data'!R69</f>
        <v>14</v>
      </c>
      <c r="G69" s="172">
        <f>'Modeling Data'!S69</f>
        <v>275</v>
      </c>
      <c r="H69" s="172">
        <f>'Modeling Data'!T69</f>
        <v>275</v>
      </c>
      <c r="I69" s="26">
        <f>'Modeling Data'!U69</f>
        <v>0.71</v>
      </c>
      <c r="J69" s="135">
        <f>'Modeling Data'!W69</f>
        <v>0</v>
      </c>
      <c r="K69" s="172">
        <f>'Modeling Data'!X69</f>
        <v>300</v>
      </c>
      <c r="L69" s="26">
        <f>'Modeling Data'!Y69</f>
        <v>17.534246575342468</v>
      </c>
      <c r="M69" s="26">
        <f>'Modeling Data'!Z69</f>
        <v>1.1267123287671232</v>
      </c>
      <c r="N69" s="32" t="str">
        <f>'Modeling Data'!AA69</f>
        <v>Non-Residential</v>
      </c>
      <c r="O69" s="177" t="str">
        <f>'Modeling Data'!AB69</f>
        <v>C-7 Restaurant</v>
      </c>
      <c r="P69" s="176">
        <f>'Modeling Data'!AC69</f>
        <v>0</v>
      </c>
      <c r="Q69" s="176" t="str">
        <f>'Modeling Data'!AE69</f>
        <v>Cafeteria, fast food, family dining, bar, lounge</v>
      </c>
    </row>
    <row r="70" spans="1:17">
      <c r="A70" s="27" t="str">
        <f>'Modeling Data'!A70</f>
        <v>CS Dining Area, Other</v>
      </c>
      <c r="B70" s="134">
        <f>'Modeling Data'!G70</f>
        <v>1</v>
      </c>
      <c r="C70" s="169">
        <f>'Modeling Data'!H70</f>
        <v>0.35</v>
      </c>
      <c r="D70" s="26">
        <f>'Modeling Data'!I70</f>
        <v>1.3160573887824656</v>
      </c>
      <c r="E70" s="135">
        <f>'Modeling Data'!N70</f>
        <v>7</v>
      </c>
      <c r="F70" s="172">
        <f>'Modeling Data'!R70</f>
        <v>14</v>
      </c>
      <c r="G70" s="172">
        <f>'Modeling Data'!S70</f>
        <v>275</v>
      </c>
      <c r="H70" s="172">
        <f>'Modeling Data'!T70</f>
        <v>275</v>
      </c>
      <c r="I70" s="26">
        <f>'Modeling Data'!U70</f>
        <v>0.71</v>
      </c>
      <c r="J70" s="135">
        <f>'Modeling Data'!W70</f>
        <v>385</v>
      </c>
      <c r="K70" s="172">
        <f>'Modeling Data'!X70</f>
        <v>300</v>
      </c>
      <c r="L70" s="26">
        <f>'Modeling Data'!Y70</f>
        <v>17.534246575342468</v>
      </c>
      <c r="M70" s="26">
        <f>'Modeling Data'!Z70</f>
        <v>1.1267123287671232</v>
      </c>
      <c r="N70" s="32" t="str">
        <f>'Modeling Data'!AA70</f>
        <v xml:space="preserve">Non-Residential </v>
      </c>
      <c r="O70" s="177" t="str">
        <f>'Modeling Data'!AB70</f>
        <v>C-7 Restaurant</v>
      </c>
      <c r="P70" s="176">
        <f>'Modeling Data'!AC70</f>
        <v>0</v>
      </c>
      <c r="Q70" s="176" t="str">
        <f>'Modeling Data'!AE70</f>
        <v>Cafeteria, fast food, family dining, bar, lounge</v>
      </c>
    </row>
    <row r="71" spans="1:17">
      <c r="A71" s="27" t="str">
        <f>'Modeling Data'!A71</f>
        <v xml:space="preserve">CS Electrical/Mechanical  , </v>
      </c>
      <c r="B71" s="134">
        <f>'Modeling Data'!G71</f>
        <v>1</v>
      </c>
      <c r="C71" s="169">
        <f>'Modeling Data'!H71</f>
        <v>0.3</v>
      </c>
      <c r="D71" s="26" t="str">
        <f>'Modeling Data'!I71</f>
        <v>UWBD</v>
      </c>
      <c r="E71" s="135">
        <f>'Modeling Data'!N71</f>
        <v>7</v>
      </c>
      <c r="F71" s="172" t="str">
        <f>'Modeling Data'!R71</f>
        <v>n. a.</v>
      </c>
      <c r="G71" s="172" t="str">
        <f>'Modeling Data'!S71</f>
        <v>n. a.</v>
      </c>
      <c r="H71" s="172" t="str">
        <f>'Modeling Data'!T71</f>
        <v>n. a.</v>
      </c>
      <c r="I71" s="26" t="str">
        <f>'Modeling Data'!U71</f>
        <v>n. a.</v>
      </c>
      <c r="J71" s="135">
        <f>'Modeling Data'!W71</f>
        <v>0</v>
      </c>
      <c r="K71" s="172" t="str">
        <f>'Modeling Data'!X71</f>
        <v>n.a.</v>
      </c>
      <c r="L71" s="26" t="str">
        <f>'Modeling Data'!Y71</f>
        <v>n.a.</v>
      </c>
      <c r="M71" s="26" t="str">
        <f>'Modeling Data'!Z71</f>
        <v>n.a.</v>
      </c>
      <c r="N71" s="32" t="str">
        <f>'Modeling Data'!AA71</f>
        <v xml:space="preserve">Non-Residential </v>
      </c>
      <c r="O71" s="206" t="str">
        <f>'Modeling Data'!AB71</f>
        <v>Use parent schedule</v>
      </c>
      <c r="P71" s="176">
        <f>'Modeling Data'!AC71</f>
        <v>0</v>
      </c>
      <c r="Q71" s="176" t="str">
        <f>'Modeling Data'!AE71</f>
        <v>Schedule is inherited</v>
      </c>
    </row>
    <row r="72" spans="1:17">
      <c r="A72" s="27" t="str">
        <f>'Modeling Data'!A72</f>
        <v xml:space="preserve">CS Emergency Vehicle Garage, </v>
      </c>
      <c r="B72" s="134">
        <f>'Modeling Data'!G72</f>
        <v>1</v>
      </c>
      <c r="C72" s="169">
        <f>'Modeling Data'!H72</f>
        <v>0.1</v>
      </c>
      <c r="D72" s="26">
        <f>'Modeling Data'!I72</f>
        <v>0.57608059373290121</v>
      </c>
      <c r="E72" s="135">
        <f>'Modeling Data'!N72</f>
        <v>7</v>
      </c>
      <c r="F72" s="172" t="str">
        <f>'Modeling Data'!R72</f>
        <v>UWBD</v>
      </c>
      <c r="G72" s="172" t="str">
        <f>'Modeling Data'!S72</f>
        <v>UWBD</v>
      </c>
      <c r="H72" s="172" t="str">
        <f>'Modeling Data'!T72</f>
        <v>UWBD</v>
      </c>
      <c r="I72" s="26" t="str">
        <f>'Modeling Data'!U72</f>
        <v>UWBD</v>
      </c>
      <c r="J72" s="135">
        <f>'Modeling Data'!W72</f>
        <v>120</v>
      </c>
      <c r="K72" s="172">
        <f>'Modeling Data'!X72</f>
        <v>0</v>
      </c>
      <c r="L72" s="26">
        <f>'Modeling Data'!Y72</f>
        <v>0.75342465753424659</v>
      </c>
      <c r="M72" s="26">
        <f>'Modeling Data'!Z72</f>
        <v>9.8173515981735154E-2</v>
      </c>
      <c r="N72" s="32" t="str">
        <f>'Modeling Data'!AA72</f>
        <v xml:space="preserve">Non-Residential </v>
      </c>
      <c r="O72" s="177" t="str">
        <f>'Modeling Data'!AB72</f>
        <v>C-2 Public</v>
      </c>
      <c r="P72" s="176">
        <f>'Modeling Data'!AC72</f>
        <v>0</v>
      </c>
      <c r="Q72" s="176" t="str">
        <f>'Modeling Data'!AE72</f>
        <v>Fire station, clinic, hospital, police station, transportation</v>
      </c>
    </row>
    <row r="73" spans="1:17">
      <c r="A73" s="27" t="str">
        <f>'Modeling Data'!A73</f>
        <v xml:space="preserve">CS Food Preparation  , </v>
      </c>
      <c r="B73" s="134">
        <f>'Modeling Data'!G73</f>
        <v>1</v>
      </c>
      <c r="C73" s="169">
        <f>'Modeling Data'!H73</f>
        <v>0.3</v>
      </c>
      <c r="D73" s="26">
        <f>'Modeling Data'!I73</f>
        <v>1.3160573887824656</v>
      </c>
      <c r="E73" s="135">
        <f>'Modeling Data'!N73</f>
        <v>7</v>
      </c>
      <c r="F73" s="172" t="str">
        <f>'Modeling Data'!R73</f>
        <v>UWBD</v>
      </c>
      <c r="G73" s="172" t="str">
        <f>'Modeling Data'!S73</f>
        <v>UWBD</v>
      </c>
      <c r="H73" s="172" t="str">
        <f>'Modeling Data'!T73</f>
        <v>UWBD</v>
      </c>
      <c r="I73" s="26" t="str">
        <f>'Modeling Data'!U73</f>
        <v>UWBD</v>
      </c>
      <c r="J73" s="135">
        <f>'Modeling Data'!W73</f>
        <v>385</v>
      </c>
      <c r="K73" s="172">
        <f>'Modeling Data'!X73</f>
        <v>400</v>
      </c>
      <c r="L73" s="26">
        <f>'Modeling Data'!Y73</f>
        <v>35.068493150684937</v>
      </c>
      <c r="M73" s="26">
        <f>'Modeling Data'!Z73</f>
        <v>2.2534246575342465</v>
      </c>
      <c r="N73" s="32" t="str">
        <f>'Modeling Data'!AA73</f>
        <v>Residential</v>
      </c>
      <c r="O73" s="176" t="str">
        <f>'Modeling Data'!AB73</f>
        <v>C-7 Restaurant</v>
      </c>
      <c r="P73" s="176">
        <f>'Modeling Data'!AC73</f>
        <v>0</v>
      </c>
      <c r="Q73" s="176" t="str">
        <f>'Modeling Data'!AE73</f>
        <v>Cafeteria, fast food, family dining, bar, lounge</v>
      </c>
    </row>
    <row r="74" spans="1:17">
      <c r="A74" s="27" t="str">
        <f>'Modeling Data'!A74</f>
        <v xml:space="preserve">CS Guest Room, </v>
      </c>
      <c r="B74" s="134">
        <f>'Modeling Data'!G74</f>
        <v>1</v>
      </c>
      <c r="C74" s="169">
        <f>'Modeling Data'!H74</f>
        <v>0.45</v>
      </c>
      <c r="D74" s="26">
        <f>'Modeling Data'!I74</f>
        <v>1.5641288213559472</v>
      </c>
      <c r="E74" s="135">
        <f>'Modeling Data'!N74</f>
        <v>7</v>
      </c>
      <c r="F74" s="172">
        <f>'Modeling Data'!R74</f>
        <v>250</v>
      </c>
      <c r="G74" s="172">
        <f>'Modeling Data'!S74</f>
        <v>250</v>
      </c>
      <c r="H74" s="172">
        <f>'Modeling Data'!T74</f>
        <v>200</v>
      </c>
      <c r="I74" s="26">
        <f>'Modeling Data'!U74</f>
        <v>0.08</v>
      </c>
      <c r="J74" s="135">
        <f>'Modeling Data'!W74</f>
        <v>2800</v>
      </c>
      <c r="K74" s="172">
        <f>'Modeling Data'!X74</f>
        <v>2000</v>
      </c>
      <c r="L74" s="26">
        <f>'Modeling Data'!Y74</f>
        <v>0.69634703196347048</v>
      </c>
      <c r="M74" s="26">
        <f>'Modeling Data'!Z74</f>
        <v>0.10273972602739725</v>
      </c>
      <c r="N74" s="32" t="str">
        <f>'Modeling Data'!AA74</f>
        <v xml:space="preserve">Non-Residential </v>
      </c>
      <c r="O74" s="177" t="str">
        <f>'Modeling Data'!AB74</f>
        <v>C-3 Hotel Motel</v>
      </c>
      <c r="P74" s="176">
        <f>'Modeling Data'!AC74</f>
        <v>0</v>
      </c>
      <c r="Q74" s="176" t="str">
        <f>'Modeling Data'!AE74</f>
        <v>Hotel, motel, penitentiary</v>
      </c>
    </row>
    <row r="75" spans="1:17">
      <c r="A75" s="27" t="str">
        <f>'Modeling Data'!A75</f>
        <v xml:space="preserve">CS Judges Chambers, </v>
      </c>
      <c r="B75" s="134">
        <f>'Modeling Data'!G75</f>
        <v>1</v>
      </c>
      <c r="C75" s="169">
        <f>'Modeling Data'!H75</f>
        <v>0.3</v>
      </c>
      <c r="D75" s="26">
        <f>'Modeling Data'!I75</f>
        <v>1.4928322661656475</v>
      </c>
      <c r="E75" s="135">
        <f>'Modeling Data'!N75</f>
        <v>7</v>
      </c>
      <c r="F75" s="172">
        <f>'Modeling Data'!R75</f>
        <v>200</v>
      </c>
      <c r="G75" s="172">
        <f>'Modeling Data'!S75</f>
        <v>250</v>
      </c>
      <c r="H75" s="172">
        <f>'Modeling Data'!T75</f>
        <v>200</v>
      </c>
      <c r="I75" s="26">
        <f>'Modeling Data'!U75</f>
        <v>0.09</v>
      </c>
      <c r="J75" s="135">
        <f>'Modeling Data'!W75</f>
        <v>120</v>
      </c>
      <c r="K75" s="172">
        <f>'Modeling Data'!X75</f>
        <v>300</v>
      </c>
      <c r="L75" s="26">
        <f>'Modeling Data'!Y75</f>
        <v>0.17123287671232876</v>
      </c>
      <c r="M75" s="26">
        <f>'Modeling Data'!Z75</f>
        <v>4.6803652968036527E-2</v>
      </c>
      <c r="N75" s="32" t="str">
        <f>'Modeling Data'!AA75</f>
        <v xml:space="preserve">Non-Residential </v>
      </c>
      <c r="O75" s="176" t="str">
        <f>'Modeling Data'!AB75</f>
        <v>C-5 Office</v>
      </c>
      <c r="P75" s="176">
        <f>'Modeling Data'!AC75</f>
        <v>0</v>
      </c>
      <c r="Q75" s="176" t="str">
        <f>'Modeling Data'!AE75</f>
        <v>courthouse, office, post office, town hall</v>
      </c>
    </row>
    <row r="76" spans="1:17">
      <c r="A76" s="27" t="str">
        <f>'Modeling Data'!A76</f>
        <v xml:space="preserve">CS Laboratory, Classrooms  </v>
      </c>
      <c r="B76" s="134">
        <f>'Modeling Data'!G76</f>
        <v>1</v>
      </c>
      <c r="C76" s="169" t="str">
        <f>'Modeling Data'!H76</f>
        <v>None</v>
      </c>
      <c r="D76" s="26">
        <f>'Modeling Data'!I76</f>
        <v>3.341539942209327</v>
      </c>
      <c r="E76" s="135">
        <f>'Modeling Data'!N76</f>
        <v>7</v>
      </c>
      <c r="F76" s="172" t="str">
        <f>'Modeling Data'!R76</f>
        <v>UWBD</v>
      </c>
      <c r="G76" s="172" t="str">
        <f>'Modeling Data'!S76</f>
        <v>UWBD</v>
      </c>
      <c r="H76" s="172" t="str">
        <f>'Modeling Data'!T76</f>
        <v>UWBD</v>
      </c>
      <c r="I76" s="26" t="str">
        <f>'Modeling Data'!U76</f>
        <v>UWBD</v>
      </c>
      <c r="J76" s="135">
        <f>'Modeling Data'!W76</f>
        <v>120</v>
      </c>
      <c r="K76" s="172">
        <f>'Modeling Data'!X76</f>
        <v>215</v>
      </c>
      <c r="L76" s="26">
        <f>'Modeling Data'!Y76</f>
        <v>0.29680365296803651</v>
      </c>
      <c r="M76" s="26">
        <f>'Modeling Data'!Z76</f>
        <v>5.2511415525114152E-2</v>
      </c>
      <c r="N76" s="32" t="str">
        <f>'Modeling Data'!AA76</f>
        <v xml:space="preserve">Non-Residential </v>
      </c>
      <c r="O76" s="176" t="str">
        <f>'Modeling Data'!AB76</f>
        <v>C-9 Schools</v>
      </c>
      <c r="P76" s="176">
        <f>'Modeling Data'!AC76</f>
        <v>0</v>
      </c>
      <c r="Q76" s="176" t="str">
        <f>'Modeling Data'!AE76</f>
        <v>K-12 schools, universities</v>
      </c>
    </row>
    <row r="77" spans="1:17">
      <c r="A77" s="27" t="str">
        <f>'Modeling Data'!A77</f>
        <v>CS Laboratory, Other</v>
      </c>
      <c r="B77" s="134">
        <f>'Modeling Data'!G77</f>
        <v>1</v>
      </c>
      <c r="C77" s="169">
        <f>'Modeling Data'!H77</f>
        <v>0.1</v>
      </c>
      <c r="D77" s="26">
        <f>'Modeling Data'!I77</f>
        <v>3.341539942209327</v>
      </c>
      <c r="E77" s="135">
        <f>'Modeling Data'!N77</f>
        <v>7</v>
      </c>
      <c r="F77" s="172" t="str">
        <f>'Modeling Data'!R77</f>
        <v>n. a.</v>
      </c>
      <c r="G77" s="172" t="str">
        <f>'Modeling Data'!S77</f>
        <v>n. a.</v>
      </c>
      <c r="H77" s="172" t="str">
        <f>'Modeling Data'!T77</f>
        <v>n. a.</v>
      </c>
      <c r="I77" s="26" t="str">
        <f>'Modeling Data'!U77</f>
        <v>n. a.</v>
      </c>
      <c r="J77" s="135">
        <f>'Modeling Data'!W77</f>
        <v>120</v>
      </c>
      <c r="K77" s="172">
        <f>'Modeling Data'!X77</f>
        <v>600</v>
      </c>
      <c r="L77" s="26" t="str">
        <f>'Modeling Data'!Y77</f>
        <v>n.a.</v>
      </c>
      <c r="M77" s="26" t="str">
        <f>'Modeling Data'!Z77</f>
        <v>n.a.</v>
      </c>
      <c r="N77" s="32" t="str">
        <f>'Modeling Data'!AA77</f>
        <v xml:space="preserve">Non-Residential </v>
      </c>
      <c r="O77" s="176" t="str">
        <f>'Modeling Data'!AB77</f>
        <v>C-11 Laboratory</v>
      </c>
      <c r="P77" s="176">
        <f>'Modeling Data'!AC77</f>
        <v>0</v>
      </c>
      <c r="Q77" s="176" t="str">
        <f>'Modeling Data'!AE77</f>
        <v>Laboratory</v>
      </c>
    </row>
    <row r="78" spans="1:17">
      <c r="A78" s="27" t="str">
        <f>'Modeling Data'!A78</f>
        <v xml:space="preserve">CS Laundry/Washing Area, </v>
      </c>
      <c r="B78" s="134">
        <f>'Modeling Data'!G78</f>
        <v>1</v>
      </c>
      <c r="C78" s="169">
        <f>'Modeling Data'!H78</f>
        <v>0.1</v>
      </c>
      <c r="D78" s="26">
        <f>'Modeling Data'!I78</f>
        <v>0.51912260356910667</v>
      </c>
      <c r="E78" s="135">
        <f>'Modeling Data'!N78</f>
        <v>7</v>
      </c>
      <c r="F78" s="172" t="str">
        <f>'Modeling Data'!R78</f>
        <v>n. a.</v>
      </c>
      <c r="G78" s="172" t="str">
        <f>'Modeling Data'!S78</f>
        <v>n. a.</v>
      </c>
      <c r="H78" s="172" t="str">
        <f>'Modeling Data'!T78</f>
        <v>n. a.</v>
      </c>
      <c r="I78" s="26" t="str">
        <f>'Modeling Data'!U78</f>
        <v>n. a.</v>
      </c>
      <c r="J78" s="135">
        <f>'Modeling Data'!W78</f>
        <v>385</v>
      </c>
      <c r="K78" s="172">
        <f>'Modeling Data'!X78</f>
        <v>215</v>
      </c>
      <c r="L78" s="26" t="str">
        <f>'Modeling Data'!Y78</f>
        <v>n.a.</v>
      </c>
      <c r="M78" s="26" t="str">
        <f>'Modeling Data'!Z78</f>
        <v>n.a.</v>
      </c>
      <c r="N78" s="32" t="str">
        <f>'Modeling Data'!AA78</f>
        <v>Residential</v>
      </c>
      <c r="O78" s="177" t="str">
        <f>'Modeling Data'!AB78</f>
        <v>Use parent schedule</v>
      </c>
      <c r="P78" s="176">
        <f>'Modeling Data'!AC78</f>
        <v>0</v>
      </c>
      <c r="Q78" s="176" t="str">
        <f>'Modeling Data'!AE78</f>
        <v>Schedule is inherited</v>
      </c>
    </row>
    <row r="79" spans="1:17">
      <c r="A79" s="27" t="str">
        <f>'Modeling Data'!A79</f>
        <v xml:space="preserve">CS Loading Dock, Interior, </v>
      </c>
      <c r="B79" s="134">
        <f>'Modeling Data'!G79</f>
        <v>1</v>
      </c>
      <c r="C79" s="169">
        <f>'Modeling Data'!H79</f>
        <v>0.1</v>
      </c>
      <c r="D79" s="26" t="str">
        <f>'Modeling Data'!I79</f>
        <v>n.a.</v>
      </c>
      <c r="E79" s="135">
        <f>'Modeling Data'!N79</f>
        <v>7</v>
      </c>
      <c r="F79" s="172">
        <f>'Modeling Data'!R79</f>
        <v>0</v>
      </c>
      <c r="G79" s="172">
        <f>'Modeling Data'!S79</f>
        <v>275</v>
      </c>
      <c r="H79" s="172">
        <f>'Modeling Data'!T79</f>
        <v>475</v>
      </c>
      <c r="I79" s="26">
        <f>'Modeling Data'!U79</f>
        <v>0.06</v>
      </c>
      <c r="J79" s="135">
        <f>'Modeling Data'!W79</f>
        <v>120</v>
      </c>
      <c r="K79" s="172">
        <f>'Modeling Data'!X79</f>
        <v>225</v>
      </c>
      <c r="L79" s="26">
        <f>'Modeling Data'!Y79</f>
        <v>0</v>
      </c>
      <c r="M79" s="26">
        <f>'Modeling Data'!Z79</f>
        <v>3.1963470319634701E-2</v>
      </c>
      <c r="N79" s="32" t="str">
        <f>'Modeling Data'!AA79</f>
        <v xml:space="preserve">Non-Residential </v>
      </c>
      <c r="O79" s="176" t="str">
        <f>'Modeling Data'!AB79</f>
        <v>C-10 Warehouse</v>
      </c>
      <c r="P79" s="176">
        <f>'Modeling Data'!AC79</f>
        <v>0</v>
      </c>
      <c r="Q79" s="176" t="str">
        <f>'Modeling Data'!AE79</f>
        <v>Warehouse</v>
      </c>
    </row>
    <row r="80" spans="1:17">
      <c r="A80" s="27" t="str">
        <f>'Modeling Data'!A80</f>
        <v>CS Lobby, Assisted Living</v>
      </c>
      <c r="B80" s="134">
        <f>'Modeling Data'!G80</f>
        <v>1</v>
      </c>
      <c r="C80" s="169">
        <f>'Modeling Data'!H80</f>
        <v>0.25</v>
      </c>
      <c r="D80" s="26">
        <f>'Modeling Data'!I80</f>
        <v>1.4046493036603716</v>
      </c>
      <c r="E80" s="135">
        <f>'Modeling Data'!N80</f>
        <v>7</v>
      </c>
      <c r="F80" s="172">
        <f>'Modeling Data'!R80</f>
        <v>250</v>
      </c>
      <c r="G80" s="172">
        <f>'Modeling Data'!S80</f>
        <v>250</v>
      </c>
      <c r="H80" s="172">
        <f>'Modeling Data'!T80</f>
        <v>200</v>
      </c>
      <c r="I80" s="26">
        <f>'Modeling Data'!U80</f>
        <v>0.08</v>
      </c>
      <c r="J80" s="135">
        <f>'Modeling Data'!W80</f>
        <v>120</v>
      </c>
      <c r="K80" s="172">
        <f>'Modeling Data'!X80</f>
        <v>100</v>
      </c>
      <c r="L80" s="26">
        <f>'Modeling Data'!Y80</f>
        <v>0.69634703196347048</v>
      </c>
      <c r="M80" s="26">
        <f>'Modeling Data'!Z80</f>
        <v>0.10273972602739725</v>
      </c>
      <c r="N80" s="32" t="str">
        <f>'Modeling Data'!AA80</f>
        <v xml:space="preserve">Non-Residential </v>
      </c>
      <c r="O80" s="176" t="str">
        <f>'Modeling Data'!AB80</f>
        <v>C-12 Residential</v>
      </c>
      <c r="P80" s="176">
        <f>'Modeling Data'!AC80</f>
        <v>0</v>
      </c>
      <c r="Q80" s="176" t="str">
        <f>'Modeling Data'!AE80</f>
        <v>Dormatory, multifamily</v>
      </c>
    </row>
    <row r="81" spans="1:17">
      <c r="A81" s="27" t="str">
        <f>'Modeling Data'!A81</f>
        <v xml:space="preserve">CS Lobby, Elevator  </v>
      </c>
      <c r="B81" s="134">
        <f>'Modeling Data'!G81</f>
        <v>1</v>
      </c>
      <c r="C81" s="169">
        <f>'Modeling Data'!H81</f>
        <v>0.25</v>
      </c>
      <c r="D81" s="26" t="str">
        <f>'Modeling Data'!I81</f>
        <v>UWBD</v>
      </c>
      <c r="E81" s="135">
        <f>'Modeling Data'!N81</f>
        <v>7</v>
      </c>
      <c r="F81" s="172" t="str">
        <f>'Modeling Data'!R81</f>
        <v>UWBD</v>
      </c>
      <c r="G81" s="172" t="str">
        <f>'Modeling Data'!S81</f>
        <v>UWBD</v>
      </c>
      <c r="H81" s="172" t="str">
        <f>'Modeling Data'!T81</f>
        <v>UWBD</v>
      </c>
      <c r="I81" s="26" t="str">
        <f>'Modeling Data'!U81</f>
        <v>UWBD</v>
      </c>
      <c r="J81" s="135">
        <f>'Modeling Data'!W81</f>
        <v>60</v>
      </c>
      <c r="K81" s="172">
        <f>'Modeling Data'!X81</f>
        <v>100</v>
      </c>
      <c r="L81" s="26">
        <f>'Modeling Data'!Y81</f>
        <v>2.2831050228310501E-2</v>
      </c>
      <c r="M81" s="26">
        <f>'Modeling Data'!Z81</f>
        <v>6.6210045662100453E-2</v>
      </c>
      <c r="N81" s="32" t="str">
        <f>'Modeling Data'!AA81</f>
        <v>Residential</v>
      </c>
      <c r="O81" s="206" t="str">
        <f>'Modeling Data'!AB81</f>
        <v>Use parent schedule</v>
      </c>
      <c r="P81" s="176">
        <f>'Modeling Data'!AC81</f>
        <v>0</v>
      </c>
      <c r="Q81" s="176" t="str">
        <f>'Modeling Data'!AE81</f>
        <v>Schedule is inherited</v>
      </c>
    </row>
    <row r="82" spans="1:17">
      <c r="A82" s="27" t="str">
        <f>'Modeling Data'!A82</f>
        <v>CS Lobby, Hotel</v>
      </c>
      <c r="B82" s="134">
        <f>'Modeling Data'!G82</f>
        <v>1</v>
      </c>
      <c r="C82" s="169">
        <f>'Modeling Data'!H82</f>
        <v>0.25</v>
      </c>
      <c r="D82" s="26">
        <f>'Modeling Data'!I82</f>
        <v>1.5641288213559472</v>
      </c>
      <c r="E82" s="135">
        <f>'Modeling Data'!N82</f>
        <v>7</v>
      </c>
      <c r="F82" s="172">
        <f>'Modeling Data'!R82</f>
        <v>250</v>
      </c>
      <c r="G82" s="172">
        <f>'Modeling Data'!S82</f>
        <v>250</v>
      </c>
      <c r="H82" s="172">
        <f>'Modeling Data'!T82</f>
        <v>200</v>
      </c>
      <c r="I82" s="26">
        <f>'Modeling Data'!U82</f>
        <v>0.08</v>
      </c>
      <c r="J82" s="135">
        <f>'Modeling Data'!W82</f>
        <v>120</v>
      </c>
      <c r="K82" s="172">
        <f>'Modeling Data'!X82</f>
        <v>100</v>
      </c>
      <c r="L82" s="26">
        <f>'Modeling Data'!Y82</f>
        <v>2.2831050228310501E-2</v>
      </c>
      <c r="M82" s="26">
        <f>'Modeling Data'!Z82</f>
        <v>6.6210045662100453E-2</v>
      </c>
      <c r="N82" s="32" t="str">
        <f>'Modeling Data'!AA82</f>
        <v xml:space="preserve">Non-Residential </v>
      </c>
      <c r="O82" s="176" t="str">
        <f>'Modeling Data'!AB82</f>
        <v>C-3 Hotel Motel</v>
      </c>
      <c r="P82" s="176">
        <f>'Modeling Data'!AC82</f>
        <v>0</v>
      </c>
      <c r="Q82" s="176" t="str">
        <f>'Modeling Data'!AE82</f>
        <v>Hotel, motel, penitentiary</v>
      </c>
    </row>
    <row r="83" spans="1:17">
      <c r="A83" s="27" t="str">
        <f>'Modeling Data'!A83</f>
        <v xml:space="preserve">CS Lobby, Motion Picture Theater  </v>
      </c>
      <c r="B83" s="134">
        <f>'Modeling Data'!G83</f>
        <v>1</v>
      </c>
      <c r="C83" s="169">
        <f>'Modeling Data'!H83</f>
        <v>0.25</v>
      </c>
      <c r="D83" s="26">
        <f>'Modeling Data'!I83</f>
        <v>0.74485358050420625</v>
      </c>
      <c r="E83" s="135">
        <f>'Modeling Data'!N83</f>
        <v>7</v>
      </c>
      <c r="F83" s="172">
        <f>'Modeling Data'!R83</f>
        <v>7</v>
      </c>
      <c r="G83" s="172">
        <f>'Modeling Data'!S83</f>
        <v>225</v>
      </c>
      <c r="H83" s="172">
        <f>'Modeling Data'!T83</f>
        <v>105</v>
      </c>
      <c r="I83" s="26">
        <f>'Modeling Data'!U83</f>
        <v>1.19</v>
      </c>
      <c r="J83" s="135">
        <f>'Modeling Data'!W83</f>
        <v>60</v>
      </c>
      <c r="K83" s="172">
        <f>'Modeling Data'!X83</f>
        <v>0</v>
      </c>
      <c r="L83" s="26">
        <f>'Modeling Data'!Y83</f>
        <v>2.2831050228310501E-2</v>
      </c>
      <c r="M83" s="26">
        <f>'Modeling Data'!Z83</f>
        <v>6.6210045662100453E-2</v>
      </c>
      <c r="N83" s="32" t="str">
        <f>'Modeling Data'!AA83</f>
        <v xml:space="preserve">Non-Residential </v>
      </c>
      <c r="O83" s="176" t="str">
        <f>'Modeling Data'!AB83</f>
        <v>C-1 Assembly</v>
      </c>
      <c r="P83" s="176">
        <f>'Modeling Data'!AC83</f>
        <v>0</v>
      </c>
      <c r="Q83" s="176" t="str">
        <f>'Modeling Data'!AE83</f>
        <v>Convention center, exercise center, motion picture theature, performing arts theater, religious building, sports arena</v>
      </c>
    </row>
    <row r="84" spans="1:17">
      <c r="A84" s="27" t="str">
        <f>'Modeling Data'!A84</f>
        <v xml:space="preserve">CS Lobby, Performing Arts Theater  </v>
      </c>
      <c r="B84" s="134">
        <f>'Modeling Data'!G84</f>
        <v>1</v>
      </c>
      <c r="C84" s="169">
        <f>'Modeling Data'!H84</f>
        <v>0.25</v>
      </c>
      <c r="D84" s="26">
        <f>'Modeling Data'!I84</f>
        <v>0.74485358050420625</v>
      </c>
      <c r="E84" s="135">
        <f>'Modeling Data'!N84</f>
        <v>7</v>
      </c>
      <c r="F84" s="172">
        <f>'Modeling Data'!R84</f>
        <v>14</v>
      </c>
      <c r="G84" s="172">
        <f>'Modeling Data'!S84</f>
        <v>225</v>
      </c>
      <c r="H84" s="172">
        <f>'Modeling Data'!T84</f>
        <v>105</v>
      </c>
      <c r="I84" s="26">
        <f>'Modeling Data'!U84</f>
        <v>0.76</v>
      </c>
      <c r="J84" s="135">
        <f>'Modeling Data'!W84</f>
        <v>60</v>
      </c>
      <c r="K84" s="172">
        <f>'Modeling Data'!X84</f>
        <v>0</v>
      </c>
      <c r="L84" s="26">
        <f>'Modeling Data'!Y84</f>
        <v>2.2831050228310501E-2</v>
      </c>
      <c r="M84" s="26">
        <f>'Modeling Data'!Z84</f>
        <v>6.6210045662100453E-2</v>
      </c>
      <c r="N84" s="32" t="str">
        <f>'Modeling Data'!AA84</f>
        <v xml:space="preserve">Non-Residential </v>
      </c>
      <c r="O84" s="176" t="str">
        <f>'Modeling Data'!AB84</f>
        <v>C-1 Assembly</v>
      </c>
      <c r="P84" s="176">
        <f>'Modeling Data'!AC84</f>
        <v>0</v>
      </c>
      <c r="Q84" s="176" t="str">
        <f>'Modeling Data'!AE84</f>
        <v>Convention center, exercise center, motion picture theature, performing arts theater, religious building, sports arena</v>
      </c>
    </row>
    <row r="85" spans="1:17">
      <c r="A85" s="27" t="str">
        <f>'Modeling Data'!A85</f>
        <v>CS Lobby, Other</v>
      </c>
      <c r="B85" s="134">
        <f>'Modeling Data'!G85</f>
        <v>1</v>
      </c>
      <c r="C85" s="169">
        <f>'Modeling Data'!H85</f>
        <v>0.25</v>
      </c>
      <c r="D85" s="26" t="str">
        <f>'Modeling Data'!I85</f>
        <v>UWBD</v>
      </c>
      <c r="E85" s="135">
        <f>'Modeling Data'!N85</f>
        <v>7</v>
      </c>
      <c r="F85" s="172" t="str">
        <f>'Modeling Data'!R85</f>
        <v>UWBD</v>
      </c>
      <c r="G85" s="172" t="str">
        <f>'Modeling Data'!S85</f>
        <v>UWBD</v>
      </c>
      <c r="H85" s="172" t="str">
        <f>'Modeling Data'!T85</f>
        <v>UWBD</v>
      </c>
      <c r="I85" s="26" t="str">
        <f>'Modeling Data'!U85</f>
        <v>UWBD</v>
      </c>
      <c r="J85" s="135">
        <f>'Modeling Data'!W85</f>
        <v>60</v>
      </c>
      <c r="K85" s="172">
        <f>'Modeling Data'!X85</f>
        <v>100</v>
      </c>
      <c r="L85" s="26">
        <f>'Modeling Data'!Y85</f>
        <v>2.2831050228310501E-2</v>
      </c>
      <c r="M85" s="26">
        <f>'Modeling Data'!Z85</f>
        <v>6.6210045662100453E-2</v>
      </c>
      <c r="N85" s="32" t="str">
        <f>'Modeling Data'!AA85</f>
        <v xml:space="preserve">Non-Residential </v>
      </c>
      <c r="O85" s="206" t="str">
        <f>'Modeling Data'!AB85</f>
        <v>Use parent schedule</v>
      </c>
      <c r="P85" s="176">
        <f>'Modeling Data'!AC85</f>
        <v>0</v>
      </c>
      <c r="Q85" s="176" t="str">
        <f>'Modeling Data'!AE85</f>
        <v>Schedule is inherited</v>
      </c>
    </row>
    <row r="86" spans="1:17">
      <c r="A86" s="27" t="str">
        <f>'Modeling Data'!A86</f>
        <v xml:space="preserve">CS Locker Room  , </v>
      </c>
      <c r="B86" s="134">
        <f>'Modeling Data'!G86</f>
        <v>1</v>
      </c>
      <c r="C86" s="169">
        <f>'Modeling Data'!H86</f>
        <v>0.25</v>
      </c>
      <c r="D86" s="26" t="str">
        <f>'Modeling Data'!I86</f>
        <v>n.a.</v>
      </c>
      <c r="E86" s="135">
        <f>'Modeling Data'!N86</f>
        <v>7</v>
      </c>
      <c r="F86" s="172" t="str">
        <f>'Modeling Data'!R86</f>
        <v>n. a.</v>
      </c>
      <c r="G86" s="172" t="str">
        <f>'Modeling Data'!S86</f>
        <v>n. a.</v>
      </c>
      <c r="H86" s="172" t="str">
        <f>'Modeling Data'!T86</f>
        <v>n. a.</v>
      </c>
      <c r="I86" s="26" t="str">
        <f>'Modeling Data'!U86</f>
        <v>n. a.</v>
      </c>
      <c r="J86" s="135">
        <f>'Modeling Data'!W86</f>
        <v>120</v>
      </c>
      <c r="K86" s="172">
        <f>'Modeling Data'!X86</f>
        <v>0</v>
      </c>
      <c r="L86" s="26">
        <f>'Modeling Data'!Y86</f>
        <v>0.75342465753424659</v>
      </c>
      <c r="M86" s="26">
        <f>'Modeling Data'!Z86</f>
        <v>9.8173515981735154E-2</v>
      </c>
      <c r="N86" s="32" t="str">
        <f>'Modeling Data'!AA86</f>
        <v xml:space="preserve">Non-Residential </v>
      </c>
      <c r="O86" s="206" t="str">
        <f>'Modeling Data'!AB86</f>
        <v>Use parent schedule</v>
      </c>
      <c r="P86" s="176">
        <f>'Modeling Data'!AC86</f>
        <v>0</v>
      </c>
      <c r="Q86" s="176" t="str">
        <f>'Modeling Data'!AE86</f>
        <v>Schedule is inherited</v>
      </c>
    </row>
    <row r="87" spans="1:17">
      <c r="A87" s="27" t="str">
        <f>'Modeling Data'!A87</f>
        <v>CS Lounge/Break, Healthcare</v>
      </c>
      <c r="B87" s="134">
        <f>'Modeling Data'!G87</f>
        <v>1</v>
      </c>
      <c r="C87" s="169" t="str">
        <f>'Modeling Data'!H87</f>
        <v>n.a.</v>
      </c>
      <c r="D87" s="26">
        <f>'Modeling Data'!I87</f>
        <v>1.2488271893219809</v>
      </c>
      <c r="E87" s="135">
        <f>'Modeling Data'!N87</f>
        <v>7</v>
      </c>
      <c r="F87" s="172" t="str">
        <f>'Modeling Data'!R87</f>
        <v>UWBD</v>
      </c>
      <c r="G87" s="172" t="str">
        <f>'Modeling Data'!S87</f>
        <v>UWBD</v>
      </c>
      <c r="H87" s="172" t="str">
        <f>'Modeling Data'!T87</f>
        <v>UWBD</v>
      </c>
      <c r="I87" s="26" t="str">
        <f>'Modeling Data'!U87</f>
        <v>UWBD</v>
      </c>
      <c r="J87" s="135">
        <f>'Modeling Data'!W87</f>
        <v>120</v>
      </c>
      <c r="K87" s="172">
        <f>'Modeling Data'!X87</f>
        <v>0</v>
      </c>
      <c r="L87" s="26">
        <f>'Modeling Data'!Y87</f>
        <v>2.2831050228310501E-2</v>
      </c>
      <c r="M87" s="26">
        <f>'Modeling Data'!Z87</f>
        <v>6.6210045662100453E-2</v>
      </c>
      <c r="N87" s="32" t="str">
        <f>'Modeling Data'!AA87</f>
        <v xml:space="preserve">Non-Residential </v>
      </c>
      <c r="O87" s="176" t="str">
        <f>'Modeling Data'!AB87</f>
        <v>C-2 Public</v>
      </c>
      <c r="P87" s="176">
        <f>'Modeling Data'!AC87</f>
        <v>0</v>
      </c>
      <c r="Q87" s="176" t="str">
        <f>'Modeling Data'!AE87</f>
        <v>Fire station, clinic, hospital, police station, transportation</v>
      </c>
    </row>
    <row r="88" spans="1:17">
      <c r="A88" s="27" t="str">
        <f>'Modeling Data'!A88</f>
        <v>CS Lounge/Break, Other</v>
      </c>
      <c r="B88" s="134">
        <f>'Modeling Data'!G88</f>
        <v>1</v>
      </c>
      <c r="C88" s="169" t="str">
        <f>'Modeling Data'!H88</f>
        <v>n.a.</v>
      </c>
      <c r="D88" s="26" t="str">
        <f>'Modeling Data'!I88</f>
        <v>UWBD</v>
      </c>
      <c r="E88" s="135">
        <f>'Modeling Data'!N88</f>
        <v>7</v>
      </c>
      <c r="F88" s="172" t="str">
        <f>'Modeling Data'!R88</f>
        <v>UWBD</v>
      </c>
      <c r="G88" s="172" t="str">
        <f>'Modeling Data'!S88</f>
        <v>UWBD</v>
      </c>
      <c r="H88" s="172" t="str">
        <f>'Modeling Data'!T88</f>
        <v>UWBD</v>
      </c>
      <c r="I88" s="26" t="str">
        <f>'Modeling Data'!U88</f>
        <v>UWBD</v>
      </c>
      <c r="J88" s="135">
        <f>'Modeling Data'!W88</f>
        <v>60</v>
      </c>
      <c r="K88" s="172">
        <f>'Modeling Data'!X88</f>
        <v>300</v>
      </c>
      <c r="L88" s="26">
        <f>'Modeling Data'!Y88</f>
        <v>2.2831050228310501E-2</v>
      </c>
      <c r="M88" s="26">
        <f>'Modeling Data'!Z88</f>
        <v>6.6210045662100453E-2</v>
      </c>
      <c r="N88" s="32" t="str">
        <f>'Modeling Data'!AA88</f>
        <v xml:space="preserve">Non-Residential </v>
      </c>
      <c r="O88" s="206" t="str">
        <f>'Modeling Data'!AB88</f>
        <v>Use parent schedule</v>
      </c>
      <c r="P88" s="176">
        <f>'Modeling Data'!AC88</f>
        <v>0</v>
      </c>
      <c r="Q88" s="176" t="str">
        <f>'Modeling Data'!AE88</f>
        <v>Schedule is inherited</v>
      </c>
    </row>
    <row r="89" spans="1:17">
      <c r="A89" s="27" t="str">
        <f>'Modeling Data'!A89</f>
        <v>CS Office, Enclosed</v>
      </c>
      <c r="B89" s="134">
        <f>'Modeling Data'!G89</f>
        <v>1</v>
      </c>
      <c r="C89" s="169">
        <f>'Modeling Data'!H89</f>
        <v>0.3</v>
      </c>
      <c r="D89" s="26">
        <f>'Modeling Data'!I89</f>
        <v>1.672119383011335</v>
      </c>
      <c r="E89" s="135">
        <f>'Modeling Data'!N89</f>
        <v>7</v>
      </c>
      <c r="F89" s="172">
        <f>'Modeling Data'!R89</f>
        <v>200</v>
      </c>
      <c r="G89" s="172">
        <f>'Modeling Data'!S89</f>
        <v>250</v>
      </c>
      <c r="H89" s="172">
        <f>'Modeling Data'!T89</f>
        <v>200</v>
      </c>
      <c r="I89" s="26">
        <f>'Modeling Data'!U89</f>
        <v>0.09</v>
      </c>
      <c r="J89" s="135">
        <f>'Modeling Data'!W89</f>
        <v>120</v>
      </c>
      <c r="K89" s="172">
        <f>'Modeling Data'!X89</f>
        <v>300</v>
      </c>
      <c r="L89" s="26">
        <f>'Modeling Data'!Y89</f>
        <v>0.12557077625570776</v>
      </c>
      <c r="M89" s="26">
        <f>'Modeling Data'!Z89</f>
        <v>5.3652968036529677E-2</v>
      </c>
      <c r="N89" s="32" t="str">
        <f>'Modeling Data'!AA89</f>
        <v xml:space="preserve">Non-Residential </v>
      </c>
      <c r="O89" s="176" t="str">
        <f>'Modeling Data'!AB89</f>
        <v>C-5 Office</v>
      </c>
      <c r="P89" s="176">
        <f>'Modeling Data'!AC89</f>
        <v>0</v>
      </c>
      <c r="Q89" s="176" t="str">
        <f>'Modeling Data'!AE89</f>
        <v>courthouse, office, post office, town hall</v>
      </c>
    </row>
    <row r="90" spans="1:17">
      <c r="A90" s="27" t="str">
        <f>'Modeling Data'!A90</f>
        <v>CS Office, Open Plan</v>
      </c>
      <c r="B90" s="134">
        <f>'Modeling Data'!G90</f>
        <v>1</v>
      </c>
      <c r="C90" s="169">
        <f>'Modeling Data'!H90</f>
        <v>0.15</v>
      </c>
      <c r="D90" s="26">
        <f>'Modeling Data'!I90</f>
        <v>1.672119383011335</v>
      </c>
      <c r="E90" s="135">
        <f>'Modeling Data'!N90</f>
        <v>7</v>
      </c>
      <c r="F90" s="172">
        <f>'Modeling Data'!R90</f>
        <v>200</v>
      </c>
      <c r="G90" s="172">
        <f>'Modeling Data'!S90</f>
        <v>250</v>
      </c>
      <c r="H90" s="172">
        <f>'Modeling Data'!T90</f>
        <v>200</v>
      </c>
      <c r="I90" s="26">
        <f>'Modeling Data'!U90</f>
        <v>0.09</v>
      </c>
      <c r="J90" s="135">
        <f>'Modeling Data'!W90</f>
        <v>120</v>
      </c>
      <c r="K90" s="172">
        <f>'Modeling Data'!X90</f>
        <v>300</v>
      </c>
      <c r="L90" s="26">
        <f>'Modeling Data'!Y90</f>
        <v>0.12557077625570776</v>
      </c>
      <c r="M90" s="26">
        <f>'Modeling Data'!Z90</f>
        <v>5.3652968036529677E-2</v>
      </c>
      <c r="N90" s="32" t="str">
        <f>'Modeling Data'!AA90</f>
        <v xml:space="preserve">Non-Residential </v>
      </c>
      <c r="O90" s="176" t="str">
        <f>'Modeling Data'!AB90</f>
        <v>C-5 Office</v>
      </c>
      <c r="P90" s="176">
        <f>'Modeling Data'!AC90</f>
        <v>0</v>
      </c>
      <c r="Q90" s="176" t="str">
        <f>'Modeling Data'!AE90</f>
        <v>courthouse, office, post office, town hall</v>
      </c>
    </row>
    <row r="91" spans="1:17">
      <c r="A91" s="27" t="str">
        <f>'Modeling Data'!A91</f>
        <v xml:space="preserve">CS Parking Area, Interior, </v>
      </c>
      <c r="B91" s="134">
        <f>'Modeling Data'!G91</f>
        <v>1</v>
      </c>
      <c r="C91" s="169">
        <f>'Modeling Data'!H91</f>
        <v>0.15</v>
      </c>
      <c r="D91" s="26" t="str">
        <f>'Modeling Data'!I91</f>
        <v>n.a.</v>
      </c>
      <c r="E91" s="135">
        <f>'Modeling Data'!N91</f>
        <v>7</v>
      </c>
      <c r="F91" s="172">
        <f>'Modeling Data'!R91</f>
        <v>0</v>
      </c>
      <c r="G91" s="172">
        <f>'Modeling Data'!S91</f>
        <v>250</v>
      </c>
      <c r="H91" s="172">
        <f>'Modeling Data'!T91</f>
        <v>200</v>
      </c>
      <c r="I91" s="26">
        <f>'Modeling Data'!U91</f>
        <v>0</v>
      </c>
      <c r="J91" s="135">
        <f>'Modeling Data'!W91</f>
        <v>120</v>
      </c>
      <c r="K91" s="172">
        <f>'Modeling Data'!X91</f>
        <v>0</v>
      </c>
      <c r="L91" s="26">
        <f>'Modeling Data'!Y91</f>
        <v>0</v>
      </c>
      <c r="M91" s="26">
        <f>'Modeling Data'!Z91</f>
        <v>3.1963470319634701E-2</v>
      </c>
      <c r="N91" s="32" t="str">
        <f>'Modeling Data'!AA91</f>
        <v xml:space="preserve">Non-Residential </v>
      </c>
      <c r="O91" s="176" t="str">
        <f>'Modeling Data'!AB91</f>
        <v>C-6 Parking Garage</v>
      </c>
      <c r="P91" s="176">
        <f>'Modeling Data'!AC91</f>
        <v>0</v>
      </c>
      <c r="Q91" s="176" t="str">
        <f>'Modeling Data'!AE91</f>
        <v>Parking garage</v>
      </c>
    </row>
    <row r="92" spans="1:17">
      <c r="A92" s="27" t="str">
        <f>'Modeling Data'!A92</f>
        <v xml:space="preserve">CS Pharmacy Area, </v>
      </c>
      <c r="B92" s="134">
        <f>'Modeling Data'!G92</f>
        <v>1</v>
      </c>
      <c r="C92" s="169">
        <f>'Modeling Data'!H92</f>
        <v>0.1</v>
      </c>
      <c r="D92" s="26">
        <f>'Modeling Data'!I92</f>
        <v>0.549276732341064</v>
      </c>
      <c r="E92" s="135">
        <f>'Modeling Data'!N92</f>
        <v>7</v>
      </c>
      <c r="F92" s="172">
        <f>'Modeling Data'!R92</f>
        <v>67</v>
      </c>
      <c r="G92" s="172">
        <f>'Modeling Data'!S92</f>
        <v>250</v>
      </c>
      <c r="H92" s="172">
        <f>'Modeling Data'!T92</f>
        <v>200</v>
      </c>
      <c r="I92" s="26">
        <f>'Modeling Data'!U92</f>
        <v>0.23</v>
      </c>
      <c r="J92" s="135">
        <f>'Modeling Data'!W92</f>
        <v>120</v>
      </c>
      <c r="K92" s="172">
        <f>'Modeling Data'!X92</f>
        <v>150</v>
      </c>
      <c r="L92" s="26">
        <f>'Modeling Data'!Y92</f>
        <v>9.1324200913242004E-2</v>
      </c>
      <c r="M92" s="26">
        <f>'Modeling Data'!Z92</f>
        <v>0.11757990867579908</v>
      </c>
      <c r="N92" s="32" t="str">
        <f>'Modeling Data'!AA92</f>
        <v xml:space="preserve">Non-Residential </v>
      </c>
      <c r="O92" s="177" t="str">
        <f>'Modeling Data'!AB92</f>
        <v>C-2 Public</v>
      </c>
      <c r="P92" s="176">
        <f>'Modeling Data'!AC92</f>
        <v>0</v>
      </c>
      <c r="Q92" s="176" t="str">
        <f>'Modeling Data'!AE92</f>
        <v>Fire station, clinic, hospital, police station, transportation</v>
      </c>
    </row>
    <row r="93" spans="1:17">
      <c r="A93" s="27" t="str">
        <f>'Modeling Data'!A93</f>
        <v>CS Restrooms  , Assisted Living</v>
      </c>
      <c r="B93" s="134">
        <f>'Modeling Data'!G93</f>
        <v>1</v>
      </c>
      <c r="C93" s="169">
        <f>'Modeling Data'!H93</f>
        <v>0.45</v>
      </c>
      <c r="D93" s="26">
        <f>'Modeling Data'!I93</f>
        <v>1.4046493036603716</v>
      </c>
      <c r="E93" s="135">
        <f>'Modeling Data'!N93</f>
        <v>7</v>
      </c>
      <c r="F93" s="172">
        <f>'Modeling Data'!R93</f>
        <v>250</v>
      </c>
      <c r="G93" s="172">
        <f>'Modeling Data'!S93</f>
        <v>250</v>
      </c>
      <c r="H93" s="172">
        <f>'Modeling Data'!T93</f>
        <v>200</v>
      </c>
      <c r="I93" s="26">
        <f>'Modeling Data'!U93</f>
        <v>0.08</v>
      </c>
      <c r="J93" s="135">
        <f>'Modeling Data'!W93</f>
        <v>0</v>
      </c>
      <c r="K93" s="172">
        <f>'Modeling Data'!X93</f>
        <v>0</v>
      </c>
      <c r="L93" s="26">
        <f>'Modeling Data'!Y93</f>
        <v>0.69634703196347048</v>
      </c>
      <c r="M93" s="26">
        <f>'Modeling Data'!Z93</f>
        <v>0.10273972602739725</v>
      </c>
      <c r="N93" s="32" t="str">
        <f>'Modeling Data'!AA93</f>
        <v>Residential</v>
      </c>
      <c r="O93" s="177" t="str">
        <f>'Modeling Data'!AB93</f>
        <v>C-12 Residential</v>
      </c>
      <c r="P93" s="176">
        <f>'Modeling Data'!AC93</f>
        <v>0</v>
      </c>
      <c r="Q93" s="176" t="str">
        <f>'Modeling Data'!AE93</f>
        <v>Dormatory, multifamily</v>
      </c>
    </row>
    <row r="94" spans="1:17">
      <c r="A94" s="27" t="str">
        <f>'Modeling Data'!A94</f>
        <v>CS Restrooms  , Other</v>
      </c>
      <c r="B94" s="134">
        <f>'Modeling Data'!G94</f>
        <v>1</v>
      </c>
      <c r="C94" s="169">
        <f>'Modeling Data'!H94</f>
        <v>0.45</v>
      </c>
      <c r="D94" s="26" t="str">
        <f>'Modeling Data'!I94</f>
        <v>UWBD</v>
      </c>
      <c r="E94" s="135">
        <f>'Modeling Data'!N94</f>
        <v>7</v>
      </c>
      <c r="F94" s="172" t="str">
        <f>'Modeling Data'!R94</f>
        <v>UWBD</v>
      </c>
      <c r="G94" s="172" t="str">
        <f>'Modeling Data'!S94</f>
        <v>UWBD</v>
      </c>
      <c r="H94" s="172" t="str">
        <f>'Modeling Data'!T94</f>
        <v>UWBD</v>
      </c>
      <c r="I94" s="26" t="str">
        <f>'Modeling Data'!U94</f>
        <v>UWBD</v>
      </c>
      <c r="J94" s="135">
        <f>'Modeling Data'!W94</f>
        <v>0</v>
      </c>
      <c r="K94" s="172">
        <f>'Modeling Data'!X94</f>
        <v>0</v>
      </c>
      <c r="L94" s="26" t="str">
        <f>'Modeling Data'!Y94</f>
        <v>n.a.</v>
      </c>
      <c r="M94" s="26" t="str">
        <f>'Modeling Data'!Z94</f>
        <v>n.a.</v>
      </c>
      <c r="N94" s="32" t="str">
        <f>'Modeling Data'!AA94</f>
        <v>Residential</v>
      </c>
      <c r="O94" s="177" t="str">
        <f>'Modeling Data'!AB94</f>
        <v>Use parent schedule</v>
      </c>
      <c r="P94" s="176">
        <f>'Modeling Data'!AC94</f>
        <v>0</v>
      </c>
      <c r="Q94" s="176" t="str">
        <f>'Modeling Data'!AE94</f>
        <v>Schedule is inherited</v>
      </c>
    </row>
    <row r="95" spans="1:17">
      <c r="A95" s="27" t="str">
        <f>'Modeling Data'!A95</f>
        <v xml:space="preserve">CS Sales Area, </v>
      </c>
      <c r="B95" s="134">
        <f>'Modeling Data'!G95</f>
        <v>1</v>
      </c>
      <c r="C95" s="169">
        <f>'Modeling Data'!H95</f>
        <v>0.1</v>
      </c>
      <c r="D95" s="26">
        <f>'Modeling Data'!I95</f>
        <v>0.549276732341064</v>
      </c>
      <c r="E95" s="135">
        <f>'Modeling Data'!N95</f>
        <v>7</v>
      </c>
      <c r="F95" s="172">
        <f>'Modeling Data'!R95</f>
        <v>67</v>
      </c>
      <c r="G95" s="172">
        <f>'Modeling Data'!S95</f>
        <v>250</v>
      </c>
      <c r="H95" s="172">
        <f>'Modeling Data'!T95</f>
        <v>200</v>
      </c>
      <c r="I95" s="26">
        <f>'Modeling Data'!U95</f>
        <v>0.23</v>
      </c>
      <c r="J95" s="135">
        <f>'Modeling Data'!W95</f>
        <v>120</v>
      </c>
      <c r="K95" s="172">
        <f>'Modeling Data'!X95</f>
        <v>135</v>
      </c>
      <c r="L95" s="26">
        <f>'Modeling Data'!Y95</f>
        <v>9.1324200913242004E-2</v>
      </c>
      <c r="M95" s="26">
        <f>'Modeling Data'!Z95</f>
        <v>0.11757990867579908</v>
      </c>
      <c r="N95" s="32" t="str">
        <f>'Modeling Data'!AA95</f>
        <v xml:space="preserve">Non-Residential </v>
      </c>
      <c r="O95" s="177" t="str">
        <f>'Modeling Data'!AB95</f>
        <v>C-8 Retail</v>
      </c>
      <c r="P95" s="176">
        <f>'Modeling Data'!AC95</f>
        <v>0</v>
      </c>
      <c r="Q95" s="176" t="str">
        <f>'Modeling Data'!AE95</f>
        <v>Library, museum, retail</v>
      </c>
    </row>
    <row r="96" spans="1:17">
      <c r="A96" s="27" t="str">
        <f>'Modeling Data'!A96</f>
        <v xml:space="preserve">CS Seating Area General, </v>
      </c>
      <c r="B96" s="134">
        <f>'Modeling Data'!G96</f>
        <v>1</v>
      </c>
      <c r="C96" s="169">
        <f>'Modeling Data'!H96</f>
        <v>0.1</v>
      </c>
      <c r="D96" s="26" t="str">
        <f>'Modeling Data'!I96</f>
        <v>UWBD</v>
      </c>
      <c r="E96" s="135">
        <f>'Modeling Data'!N96</f>
        <v>7</v>
      </c>
      <c r="F96" s="172" t="str">
        <f>'Modeling Data'!R96</f>
        <v>UWBD</v>
      </c>
      <c r="G96" s="172" t="str">
        <f>'Modeling Data'!S96</f>
        <v>UWBD</v>
      </c>
      <c r="H96" s="172" t="str">
        <f>'Modeling Data'!T96</f>
        <v>UWBD</v>
      </c>
      <c r="I96" s="26" t="str">
        <f>'Modeling Data'!U96</f>
        <v>UWBD</v>
      </c>
      <c r="J96" s="135" t="str">
        <f>'Modeling Data'!W96</f>
        <v>UWBD</v>
      </c>
      <c r="K96" s="172" t="str">
        <f>'Modeling Data'!X96</f>
        <v>n.a.</v>
      </c>
      <c r="L96" s="26" t="str">
        <f>'Modeling Data'!Y96</f>
        <v>n.a.</v>
      </c>
      <c r="M96" s="26" t="str">
        <f>'Modeling Data'!Z96</f>
        <v>n.a.</v>
      </c>
      <c r="N96" s="32" t="str">
        <f>'Modeling Data'!AA96</f>
        <v xml:space="preserve">Non-Residential </v>
      </c>
      <c r="O96" s="177" t="str">
        <f>'Modeling Data'!AB96</f>
        <v>Use parent schedule</v>
      </c>
      <c r="P96" s="176">
        <f>'Modeling Data'!AC96</f>
        <v>0</v>
      </c>
      <c r="Q96" s="176" t="str">
        <f>'Modeling Data'!AE96</f>
        <v>Schedule is inherited</v>
      </c>
    </row>
    <row r="97" spans="1:17">
      <c r="A97" s="27" t="str">
        <f>'Modeling Data'!A97</f>
        <v xml:space="preserve">CS Stairway, </v>
      </c>
      <c r="B97" s="134">
        <f>'Modeling Data'!G97</f>
        <v>1</v>
      </c>
      <c r="C97" s="169">
        <f>'Modeling Data'!H97</f>
        <v>0.75</v>
      </c>
      <c r="D97" s="26" t="str">
        <f>'Modeling Data'!I97</f>
        <v>UWBD</v>
      </c>
      <c r="E97" s="135">
        <f>'Modeling Data'!N97</f>
        <v>7</v>
      </c>
      <c r="F97" s="172" t="str">
        <f>'Modeling Data'!R97</f>
        <v>UWBD</v>
      </c>
      <c r="G97" s="172" t="str">
        <f>'Modeling Data'!S97</f>
        <v>UWBD</v>
      </c>
      <c r="H97" s="172" t="str">
        <f>'Modeling Data'!T97</f>
        <v>UWBD</v>
      </c>
      <c r="I97" s="26" t="str">
        <f>'Modeling Data'!U97</f>
        <v>UWBD</v>
      </c>
      <c r="J97" s="135">
        <f>'Modeling Data'!W97</f>
        <v>0</v>
      </c>
      <c r="K97" s="172">
        <f>'Modeling Data'!X97</f>
        <v>0</v>
      </c>
      <c r="L97" s="26" t="str">
        <f>'Modeling Data'!Y97</f>
        <v>n.a.</v>
      </c>
      <c r="M97" s="26" t="str">
        <f>'Modeling Data'!Z97</f>
        <v>n.a.</v>
      </c>
      <c r="N97" s="32" t="str">
        <f>'Modeling Data'!AA97</f>
        <v>Residential</v>
      </c>
      <c r="O97" s="177" t="str">
        <f>'Modeling Data'!AB97</f>
        <v>Use parent schedule</v>
      </c>
      <c r="P97" s="176">
        <f>'Modeling Data'!AC97</f>
        <v>0</v>
      </c>
      <c r="Q97" s="176" t="str">
        <f>'Modeling Data'!AE97</f>
        <v>Schedule is inherited</v>
      </c>
    </row>
    <row r="98" spans="1:17">
      <c r="A98" s="27" t="str">
        <f>'Modeling Data'!A98</f>
        <v>CS Storage, Hospital</v>
      </c>
      <c r="B98" s="134">
        <f>'Modeling Data'!G98</f>
        <v>1</v>
      </c>
      <c r="C98" s="169">
        <f>'Modeling Data'!H98</f>
        <v>0.45</v>
      </c>
      <c r="D98" s="26">
        <f>'Modeling Data'!I98</f>
        <v>1.2488271893219809</v>
      </c>
      <c r="E98" s="135">
        <f>'Modeling Data'!N98</f>
        <v>7</v>
      </c>
      <c r="F98" s="172">
        <f>'Modeling Data'!R98</f>
        <v>200</v>
      </c>
      <c r="G98" s="172">
        <f>'Modeling Data'!S98</f>
        <v>250</v>
      </c>
      <c r="H98" s="172">
        <f>'Modeling Data'!T98</f>
        <v>200</v>
      </c>
      <c r="I98" s="26">
        <f>'Modeling Data'!U98</f>
        <v>0.47</v>
      </c>
      <c r="J98" s="135">
        <f>'Modeling Data'!W98</f>
        <v>160</v>
      </c>
      <c r="K98" s="172">
        <f>'Modeling Data'!X98</f>
        <v>0</v>
      </c>
      <c r="L98" s="26">
        <f>'Modeling Data'!Y98</f>
        <v>1.1301369863013697</v>
      </c>
      <c r="M98" s="26">
        <f>'Modeling Data'!Z98</f>
        <v>8.1050228310502279E-2</v>
      </c>
      <c r="N98" s="32" t="str">
        <f>'Modeling Data'!AA98</f>
        <v>Residential</v>
      </c>
      <c r="O98" s="177" t="str">
        <f>'Modeling Data'!AB98</f>
        <v>C-2 Public</v>
      </c>
      <c r="P98" s="176">
        <f>'Modeling Data'!AC98</f>
        <v>0</v>
      </c>
      <c r="Q98" s="176" t="str">
        <f>'Modeling Data'!AE98</f>
        <v>Fire station, clinic, hospital, police station, transportation</v>
      </c>
    </row>
    <row r="99" spans="1:17">
      <c r="A99" s="27" t="str">
        <f>'Modeling Data'!A99</f>
        <v xml:space="preserve">CS Storage, &gt;= 50 ft² </v>
      </c>
      <c r="B99" s="134">
        <f>'Modeling Data'!G99</f>
        <v>1</v>
      </c>
      <c r="C99" s="169">
        <f>'Modeling Data'!H99</f>
        <v>0.45</v>
      </c>
      <c r="D99" s="26">
        <f>'Modeling Data'!I99</f>
        <v>0.31394912262618863</v>
      </c>
      <c r="E99" s="135">
        <f>'Modeling Data'!N99</f>
        <v>7</v>
      </c>
      <c r="F99" s="172">
        <f>'Modeling Data'!R99</f>
        <v>0</v>
      </c>
      <c r="G99" s="172">
        <f>'Modeling Data'!S99</f>
        <v>275</v>
      </c>
      <c r="H99" s="172">
        <f>'Modeling Data'!T99</f>
        <v>475</v>
      </c>
      <c r="I99" s="26">
        <f>'Modeling Data'!U99</f>
        <v>0.06</v>
      </c>
      <c r="J99" s="135">
        <f>'Modeling Data'!W99</f>
        <v>120</v>
      </c>
      <c r="K99" s="172">
        <f>'Modeling Data'!X99</f>
        <v>0</v>
      </c>
      <c r="L99" s="26">
        <f>'Modeling Data'!Y99</f>
        <v>0</v>
      </c>
      <c r="M99" s="26">
        <f>'Modeling Data'!Z99</f>
        <v>3.1963470319634701E-2</v>
      </c>
      <c r="N99" s="32" t="str">
        <f>'Modeling Data'!AA99</f>
        <v>Residential</v>
      </c>
      <c r="O99" s="177" t="str">
        <f>'Modeling Data'!AB99</f>
        <v>Use parent schedule</v>
      </c>
      <c r="P99" s="176">
        <f>'Modeling Data'!AC99</f>
        <v>0</v>
      </c>
      <c r="Q99" s="176" t="str">
        <f>'Modeling Data'!AE99</f>
        <v>Schedule is inherited</v>
      </c>
    </row>
    <row r="100" spans="1:17">
      <c r="A100" s="27" t="str">
        <f>'Modeling Data'!A100</f>
        <v xml:space="preserve">CS Storage, &lt; 50 ft² </v>
      </c>
      <c r="B100" s="134">
        <f>'Modeling Data'!G100</f>
        <v>1</v>
      </c>
      <c r="C100" s="169">
        <f>'Modeling Data'!H100</f>
        <v>0.45</v>
      </c>
      <c r="D100" s="26">
        <f>'Modeling Data'!I100</f>
        <v>0.31394912262618863</v>
      </c>
      <c r="E100" s="135">
        <f>'Modeling Data'!N100</f>
        <v>7</v>
      </c>
      <c r="F100" s="172">
        <f>'Modeling Data'!R100</f>
        <v>0</v>
      </c>
      <c r="G100" s="172">
        <f>'Modeling Data'!S100</f>
        <v>275</v>
      </c>
      <c r="H100" s="172">
        <f>'Modeling Data'!T100</f>
        <v>475</v>
      </c>
      <c r="I100" s="26">
        <f>'Modeling Data'!U100</f>
        <v>0.06</v>
      </c>
      <c r="J100" s="135">
        <f>'Modeling Data'!W100</f>
        <v>120</v>
      </c>
      <c r="K100" s="172">
        <f>'Modeling Data'!X100</f>
        <v>0</v>
      </c>
      <c r="L100" s="26">
        <f>'Modeling Data'!Y100</f>
        <v>0</v>
      </c>
      <c r="M100" s="26">
        <f>'Modeling Data'!Z100</f>
        <v>3.1963470319634701E-2</v>
      </c>
      <c r="N100" s="32" t="str">
        <f>'Modeling Data'!AA100</f>
        <v xml:space="preserve">Non-Residential </v>
      </c>
      <c r="O100" s="177" t="str">
        <f>'Modeling Data'!AB100</f>
        <v>Use parent schedule</v>
      </c>
      <c r="P100" s="176">
        <f>'Modeling Data'!AC100</f>
        <v>0</v>
      </c>
      <c r="Q100" s="176" t="str">
        <f>'Modeling Data'!AE100</f>
        <v>Schedule is inherited</v>
      </c>
    </row>
    <row r="101" spans="1:17">
      <c r="A101" s="27" t="str">
        <f>'Modeling Data'!A101</f>
        <v xml:space="preserve">CS Vehicular Maintenance, </v>
      </c>
      <c r="B101" s="134">
        <f>'Modeling Data'!G101</f>
        <v>1</v>
      </c>
      <c r="C101" s="169">
        <f>'Modeling Data'!H101</f>
        <v>0.1</v>
      </c>
      <c r="D101" s="26">
        <f>'Modeling Data'!I101</f>
        <v>0.50325197968776458</v>
      </c>
      <c r="E101" s="135">
        <f>'Modeling Data'!N101</f>
        <v>7</v>
      </c>
      <c r="F101" s="172">
        <f>'Modeling Data'!R101</f>
        <v>143</v>
      </c>
      <c r="G101" s="172">
        <f>'Modeling Data'!S101</f>
        <v>375</v>
      </c>
      <c r="H101" s="172">
        <f>'Modeling Data'!T101</f>
        <v>625</v>
      </c>
      <c r="I101" s="26">
        <f>'Modeling Data'!U101</f>
        <v>0.25</v>
      </c>
      <c r="J101" s="135">
        <f>'Modeling Data'!W101</f>
        <v>120</v>
      </c>
      <c r="K101" s="172">
        <f>'Modeling Data'!X101</f>
        <v>300</v>
      </c>
      <c r="L101" s="26">
        <f>'Modeling Data'!Y101</f>
        <v>0.75342465753424659</v>
      </c>
      <c r="M101" s="26">
        <f>'Modeling Data'!Z101</f>
        <v>9.8173515981735154E-2</v>
      </c>
      <c r="N101" s="32" t="str">
        <f>'Modeling Data'!AA101</f>
        <v xml:space="preserve">Non-Residential </v>
      </c>
      <c r="O101" s="177" t="str">
        <f>'Modeling Data'!AB101</f>
        <v>C-4 Manufacturing</v>
      </c>
      <c r="P101" s="176">
        <f>'Modeling Data'!AC101</f>
        <v>0</v>
      </c>
      <c r="Q101" s="176" t="str">
        <f>'Modeling Data'!AE101</f>
        <v>Automotive facility, workshop, manufacturing facility</v>
      </c>
    </row>
    <row r="102" spans="1:17" s="25" customFormat="1" ht="13.5" thickBot="1">
      <c r="A102" s="212" t="str">
        <f>'Modeling Data'!A102</f>
        <v xml:space="preserve">CS Workshop, </v>
      </c>
      <c r="B102" s="214">
        <f>'Modeling Data'!G102</f>
        <v>1</v>
      </c>
      <c r="C102" s="215">
        <f>'Modeling Data'!H102</f>
        <v>0.1</v>
      </c>
      <c r="D102" s="213">
        <f>'Modeling Data'!I102</f>
        <v>0.42833678057910263</v>
      </c>
      <c r="E102" s="216">
        <f>'Modeling Data'!N102</f>
        <v>7</v>
      </c>
      <c r="F102" s="217">
        <f>'Modeling Data'!R102</f>
        <v>143</v>
      </c>
      <c r="G102" s="217">
        <f>'Modeling Data'!S102</f>
        <v>635</v>
      </c>
      <c r="H102" s="217">
        <f>'Modeling Data'!T102</f>
        <v>965</v>
      </c>
      <c r="I102" s="213">
        <f>'Modeling Data'!U102</f>
        <v>0.25</v>
      </c>
      <c r="J102" s="216">
        <f>'Modeling Data'!W102</f>
        <v>120</v>
      </c>
      <c r="K102" s="217">
        <f>'Modeling Data'!X102</f>
        <v>175</v>
      </c>
      <c r="L102" s="213">
        <f>'Modeling Data'!Y102</f>
        <v>0.75342465753424659</v>
      </c>
      <c r="M102" s="213">
        <f>'Modeling Data'!Z102</f>
        <v>9.8173515981735154E-2</v>
      </c>
      <c r="N102" s="218" t="str">
        <f>'Modeling Data'!AA102</f>
        <v xml:space="preserve">Non-Residential </v>
      </c>
      <c r="O102" s="219" t="str">
        <f>'Modeling Data'!AB102</f>
        <v>C-4 Manufacturing</v>
      </c>
      <c r="P102" s="220">
        <f>'Modeling Data'!AC102</f>
        <v>0</v>
      </c>
      <c r="Q102" s="220" t="str">
        <f>'Modeling Data'!AE102</f>
        <v>Automotive facility, workshop, manufacturing facility</v>
      </c>
    </row>
    <row r="103" spans="1:17">
      <c r="A103" t="str">
        <f>'Modeling Data'!A103</f>
        <v>SS Assisted Living, Chapel</v>
      </c>
      <c r="B103" s="134">
        <f>'Modeling Data'!G103</f>
        <v>1</v>
      </c>
      <c r="C103" s="169">
        <f>'Modeling Data'!H103</f>
        <v>0.1</v>
      </c>
      <c r="D103" s="26">
        <f>'Modeling Data'!I103</f>
        <v>1.4046493036603716</v>
      </c>
      <c r="E103" s="135">
        <f>'Modeling Data'!N103</f>
        <v>7</v>
      </c>
      <c r="F103" s="172">
        <f>'Modeling Data'!R103</f>
        <v>250</v>
      </c>
      <c r="G103" s="172">
        <f>'Modeling Data'!S103</f>
        <v>250</v>
      </c>
      <c r="H103" s="172">
        <f>'Modeling Data'!T103</f>
        <v>200</v>
      </c>
      <c r="I103" s="26">
        <f>'Modeling Data'!U103</f>
        <v>0.08</v>
      </c>
      <c r="J103" s="135">
        <f>'Modeling Data'!W103</f>
        <v>120</v>
      </c>
      <c r="K103" s="172">
        <f>'Modeling Data'!X103</f>
        <v>200</v>
      </c>
      <c r="L103" s="26">
        <f>'Modeling Data'!Y103</f>
        <v>0.69634703196347048</v>
      </c>
      <c r="M103" s="26">
        <f>'Modeling Data'!Z103</f>
        <v>0.10273972602739725</v>
      </c>
      <c r="N103" s="32" t="str">
        <f>'Modeling Data'!AA103</f>
        <v xml:space="preserve">Non-Residential </v>
      </c>
      <c r="O103" s="177" t="str">
        <f>'Modeling Data'!AB103</f>
        <v>C-12 Residential</v>
      </c>
      <c r="P103" s="176">
        <f>'Modeling Data'!AC103</f>
        <v>0</v>
      </c>
      <c r="Q103" s="176" t="str">
        <f>'Modeling Data'!AE103</f>
        <v>Dormatory, multifamily</v>
      </c>
    </row>
    <row r="104" spans="1:17">
      <c r="A104" t="str">
        <f>'Modeling Data'!A104</f>
        <v>SS Assisted Living, Recreation Room</v>
      </c>
      <c r="B104" s="134">
        <f>'Modeling Data'!G104</f>
        <v>1</v>
      </c>
      <c r="C104" s="169">
        <f>'Modeling Data'!H104</f>
        <v>0.1</v>
      </c>
      <c r="D104" s="26">
        <f>'Modeling Data'!I104</f>
        <v>1.4046493036603716</v>
      </c>
      <c r="E104" s="135">
        <f>'Modeling Data'!N104</f>
        <v>7</v>
      </c>
      <c r="F104" s="172">
        <f>'Modeling Data'!R104</f>
        <v>250</v>
      </c>
      <c r="G104" s="172">
        <f>'Modeling Data'!S104</f>
        <v>250</v>
      </c>
      <c r="H104" s="172">
        <f>'Modeling Data'!T104</f>
        <v>200</v>
      </c>
      <c r="I104" s="26">
        <f>'Modeling Data'!U104</f>
        <v>0.08</v>
      </c>
      <c r="J104" s="135">
        <f>'Modeling Data'!W104</f>
        <v>60</v>
      </c>
      <c r="K104" s="172">
        <f>'Modeling Data'!X104</f>
        <v>300</v>
      </c>
      <c r="L104" s="26">
        <f>'Modeling Data'!Y104</f>
        <v>0.69634703196347048</v>
      </c>
      <c r="M104" s="26">
        <f>'Modeling Data'!Z104</f>
        <v>0.10273972602739725</v>
      </c>
      <c r="N104" s="32" t="str">
        <f>'Modeling Data'!AA104</f>
        <v xml:space="preserve">Non-Residential </v>
      </c>
      <c r="O104" s="177" t="str">
        <f>'Modeling Data'!AB104</f>
        <v>C-12 Residential</v>
      </c>
      <c r="P104" s="176">
        <f>'Modeling Data'!AC104</f>
        <v>0</v>
      </c>
      <c r="Q104" s="176" t="str">
        <f>'Modeling Data'!AE104</f>
        <v>Dormatory, multifamily</v>
      </c>
    </row>
    <row r="105" spans="1:17">
      <c r="A105" t="str">
        <f>'Modeling Data'!A105</f>
        <v xml:space="preserve">SS Convention Center, Exhibit Space  </v>
      </c>
      <c r="B105" s="134">
        <f>'Modeling Data'!G105</f>
        <v>1</v>
      </c>
      <c r="C105" s="169">
        <f>'Modeling Data'!H105</f>
        <v>0.35</v>
      </c>
      <c r="D105" s="26">
        <f>'Modeling Data'!I105</f>
        <v>0.74760799257268662</v>
      </c>
      <c r="E105" s="135">
        <f>'Modeling Data'!N105</f>
        <v>7</v>
      </c>
      <c r="F105" s="172">
        <f>'Modeling Data'!R105</f>
        <v>20</v>
      </c>
      <c r="G105" s="172">
        <f>'Modeling Data'!S105</f>
        <v>250</v>
      </c>
      <c r="H105" s="172">
        <f>'Modeling Data'!T105</f>
        <v>200</v>
      </c>
      <c r="I105" s="26">
        <f>'Modeling Data'!U105</f>
        <v>0.31</v>
      </c>
      <c r="J105" s="135">
        <f>'Modeling Data'!W105</f>
        <v>60</v>
      </c>
      <c r="K105" s="172">
        <f>'Modeling Data'!X105</f>
        <v>100</v>
      </c>
      <c r="L105" s="26">
        <f>'Modeling Data'!Y105</f>
        <v>2.2831050228310501E-2</v>
      </c>
      <c r="M105" s="26">
        <f>'Modeling Data'!Z105</f>
        <v>6.6210045662100453E-2</v>
      </c>
      <c r="N105" s="32" t="str">
        <f>'Modeling Data'!AA105</f>
        <v xml:space="preserve">Non-Residential </v>
      </c>
      <c r="O105" s="177" t="str">
        <f>'Modeling Data'!AB105</f>
        <v>C-1 Assembly</v>
      </c>
      <c r="P105" s="176">
        <f>'Modeling Data'!AC105</f>
        <v>0</v>
      </c>
      <c r="Q105" s="176" t="str">
        <f>'Modeling Data'!AE105</f>
        <v>Convention center, exercise center, motion picture theature, performing arts theater, religious building, sports arena</v>
      </c>
    </row>
    <row r="106" spans="1:17">
      <c r="A106" t="str">
        <f>'Modeling Data'!A106</f>
        <v xml:space="preserve">SS Dormitory, Living Quarters  </v>
      </c>
      <c r="B106" s="134">
        <f>'Modeling Data'!G106</f>
        <v>1</v>
      </c>
      <c r="C106" s="169">
        <f>'Modeling Data'!H106</f>
        <v>0.1</v>
      </c>
      <c r="D106" s="26">
        <f>'Modeling Data'!I106</f>
        <v>1.9561272315249876</v>
      </c>
      <c r="E106" s="135">
        <f>'Modeling Data'!N106</f>
        <v>7</v>
      </c>
      <c r="F106" s="172">
        <f>'Modeling Data'!R106</f>
        <v>250</v>
      </c>
      <c r="G106" s="172">
        <f>'Modeling Data'!S106</f>
        <v>250</v>
      </c>
      <c r="H106" s="172">
        <f>'Modeling Data'!T106</f>
        <v>200</v>
      </c>
      <c r="I106" s="26">
        <f>'Modeling Data'!U106</f>
        <v>0.08</v>
      </c>
      <c r="J106" s="135">
        <f>'Modeling Data'!W106</f>
        <v>120</v>
      </c>
      <c r="K106" s="172">
        <f>'Modeling Data'!X106</f>
        <v>1700</v>
      </c>
      <c r="L106" s="26">
        <f>'Modeling Data'!Y106</f>
        <v>0.69634703196347048</v>
      </c>
      <c r="M106" s="26">
        <f>'Modeling Data'!Z106</f>
        <v>0.10273972602739725</v>
      </c>
      <c r="N106" s="32" t="str">
        <f>'Modeling Data'!AA106</f>
        <v xml:space="preserve">Non-Residential </v>
      </c>
      <c r="O106" s="177" t="str">
        <f>'Modeling Data'!AB106</f>
        <v>C-12 Residential</v>
      </c>
      <c r="P106" s="176">
        <f>'Modeling Data'!AC106</f>
        <v>0</v>
      </c>
      <c r="Q106" s="176" t="str">
        <f>'Modeling Data'!AE106</f>
        <v>Dormatory, multifamily</v>
      </c>
    </row>
    <row r="107" spans="1:17">
      <c r="A107" t="str">
        <f>'Modeling Data'!A107</f>
        <v xml:space="preserve">SS Fire Station, Sleeping Quarters  </v>
      </c>
      <c r="B107" s="134">
        <f>'Modeling Data'!G107</f>
        <v>1</v>
      </c>
      <c r="C107" s="169">
        <f>'Modeling Data'!H107</f>
        <v>0.1</v>
      </c>
      <c r="D107" s="26">
        <f>'Modeling Data'!I107</f>
        <v>1.5403580152290588</v>
      </c>
      <c r="E107" s="135">
        <f>'Modeling Data'!N107</f>
        <v>7</v>
      </c>
      <c r="F107" s="172">
        <f>'Modeling Data'!R107</f>
        <v>33</v>
      </c>
      <c r="G107" s="172">
        <f>'Modeling Data'!S107</f>
        <v>250</v>
      </c>
      <c r="H107" s="172">
        <f>'Modeling Data'!T107</f>
        <v>200</v>
      </c>
      <c r="I107" s="26">
        <f>'Modeling Data'!U107</f>
        <v>0.21</v>
      </c>
      <c r="J107" s="135">
        <f>'Modeling Data'!W107</f>
        <v>120</v>
      </c>
      <c r="K107" s="172">
        <f>'Modeling Data'!X107</f>
        <v>1700</v>
      </c>
      <c r="L107" s="26">
        <f>'Modeling Data'!Y107</f>
        <v>0.69634703196347048</v>
      </c>
      <c r="M107" s="26">
        <f>'Modeling Data'!Z107</f>
        <v>0.10273972602739725</v>
      </c>
      <c r="N107" s="32" t="str">
        <f>'Modeling Data'!AA107</f>
        <v xml:space="preserve">Non-Residential </v>
      </c>
      <c r="O107" s="177" t="str">
        <f>'Modeling Data'!AB107</f>
        <v>C-12 Residential</v>
      </c>
      <c r="P107" s="176">
        <f>'Modeling Data'!AC107</f>
        <v>0</v>
      </c>
      <c r="Q107" s="176" t="str">
        <f>'Modeling Data'!AE107</f>
        <v>Dormatory, multifamily</v>
      </c>
    </row>
    <row r="108" spans="1:17">
      <c r="A108" t="str">
        <f>'Modeling Data'!A108</f>
        <v xml:space="preserve">SS Gymnasium/Fitness Center, Exercise Area  </v>
      </c>
      <c r="B108" s="134">
        <f>'Modeling Data'!G108</f>
        <v>1</v>
      </c>
      <c r="C108" s="169">
        <f>'Modeling Data'!H108</f>
        <v>0.35</v>
      </c>
      <c r="D108" s="26">
        <f>'Modeling Data'!I108</f>
        <v>0.67424666522690402</v>
      </c>
      <c r="E108" s="135">
        <f>'Modeling Data'!N108</f>
        <v>7</v>
      </c>
      <c r="F108" s="172">
        <f>'Modeling Data'!R108</f>
        <v>100</v>
      </c>
      <c r="G108" s="172">
        <f>'Modeling Data'!S108</f>
        <v>710</v>
      </c>
      <c r="H108" s="172">
        <f>'Modeling Data'!T108</f>
        <v>1090</v>
      </c>
      <c r="I108" s="26">
        <f>'Modeling Data'!U108</f>
        <v>0.26</v>
      </c>
      <c r="J108" s="135">
        <f>'Modeling Data'!W108</f>
        <v>120</v>
      </c>
      <c r="K108" s="172">
        <f>'Modeling Data'!X108</f>
        <v>300</v>
      </c>
      <c r="L108" s="26">
        <f>'Modeling Data'!Y108</f>
        <v>2.2831050228310501E-2</v>
      </c>
      <c r="M108" s="26">
        <f>'Modeling Data'!Z108</f>
        <v>6.6210045662100453E-2</v>
      </c>
      <c r="N108" s="32" t="str">
        <f>'Modeling Data'!AA108</f>
        <v xml:space="preserve">Non-Residential </v>
      </c>
      <c r="O108" s="177" t="str">
        <f>'Modeling Data'!AB108</f>
        <v>C-1 Assembly</v>
      </c>
      <c r="P108" s="176">
        <f>'Modeling Data'!AC108</f>
        <v>0</v>
      </c>
      <c r="Q108" s="176" t="str">
        <f>'Modeling Data'!AE108</f>
        <v>Convention center, exercise center, motion picture theature, performing arts theater, religious building, sports arena</v>
      </c>
    </row>
    <row r="109" spans="1:17">
      <c r="A109" t="str">
        <f>'Modeling Data'!A109</f>
        <v xml:space="preserve">SS Gymnasium/Fitness Center, Playing Area  </v>
      </c>
      <c r="B109" s="134">
        <f>'Modeling Data'!G109</f>
        <v>1</v>
      </c>
      <c r="C109" s="169">
        <f>'Modeling Data'!H109</f>
        <v>0.35</v>
      </c>
      <c r="D109" s="26">
        <f>'Modeling Data'!I109</f>
        <v>0.67424666522690402</v>
      </c>
      <c r="E109" s="135">
        <f>'Modeling Data'!N109</f>
        <v>7</v>
      </c>
      <c r="F109" s="172">
        <f>'Modeling Data'!R109</f>
        <v>100</v>
      </c>
      <c r="G109" s="172">
        <f>'Modeling Data'!S109</f>
        <v>710</v>
      </c>
      <c r="H109" s="172">
        <f>'Modeling Data'!T109</f>
        <v>1090</v>
      </c>
      <c r="I109" s="26">
        <f>'Modeling Data'!U109</f>
        <v>0.26</v>
      </c>
      <c r="J109" s="135">
        <f>'Modeling Data'!W109</f>
        <v>120</v>
      </c>
      <c r="K109" s="172">
        <f>'Modeling Data'!X109</f>
        <v>300</v>
      </c>
      <c r="L109" s="26">
        <f>'Modeling Data'!Y109</f>
        <v>2.2831050228310501E-2</v>
      </c>
      <c r="M109" s="26">
        <f>'Modeling Data'!Z109</f>
        <v>6.6210045662100453E-2</v>
      </c>
      <c r="N109" s="32" t="str">
        <f>'Modeling Data'!AA109</f>
        <v xml:space="preserve">Non-Residential </v>
      </c>
      <c r="O109" s="177" t="str">
        <f>'Modeling Data'!AB109</f>
        <v>C-1 Assembly</v>
      </c>
      <c r="P109" s="176">
        <f>'Modeling Data'!AC109</f>
        <v>0</v>
      </c>
      <c r="Q109" s="176" t="str">
        <f>'Modeling Data'!AE109</f>
        <v>Convention center, exercise center, motion picture theature, performing arts theater, religious building, sports arena</v>
      </c>
    </row>
    <row r="110" spans="1:17">
      <c r="A110" t="str">
        <f>'Modeling Data'!A110</f>
        <v>SS Healthcare, Emergency Room</v>
      </c>
      <c r="B110" s="134">
        <f>'Modeling Data'!G110</f>
        <v>1</v>
      </c>
      <c r="C110" s="169">
        <f>'Modeling Data'!H110</f>
        <v>0.1</v>
      </c>
      <c r="D110" s="26">
        <f>'Modeling Data'!I110</f>
        <v>1.2488271893219809</v>
      </c>
      <c r="E110" s="135">
        <f>'Modeling Data'!N110</f>
        <v>7</v>
      </c>
      <c r="F110" s="172">
        <f>'Modeling Data'!R110</f>
        <v>200</v>
      </c>
      <c r="G110" s="172">
        <f>'Modeling Data'!S110</f>
        <v>250</v>
      </c>
      <c r="H110" s="172">
        <f>'Modeling Data'!T110</f>
        <v>200</v>
      </c>
      <c r="I110" s="26">
        <f>'Modeling Data'!U110</f>
        <v>0.47</v>
      </c>
      <c r="J110" s="135">
        <f>'Modeling Data'!W110</f>
        <v>160</v>
      </c>
      <c r="K110" s="172">
        <f>'Modeling Data'!X110</f>
        <v>1000</v>
      </c>
      <c r="L110" s="26">
        <f>'Modeling Data'!Y110</f>
        <v>1.1301369863013697</v>
      </c>
      <c r="M110" s="26">
        <f>'Modeling Data'!Z110</f>
        <v>8.1050228310502279E-2</v>
      </c>
      <c r="N110" s="32" t="str">
        <f>'Modeling Data'!AA110</f>
        <v xml:space="preserve">Non-Residential </v>
      </c>
      <c r="O110" s="177" t="str">
        <f>'Modeling Data'!AB110</f>
        <v>C-2 Public</v>
      </c>
      <c r="P110" s="176">
        <f>'Modeling Data'!AC110</f>
        <v>0</v>
      </c>
      <c r="Q110" s="176" t="str">
        <f>'Modeling Data'!AE110</f>
        <v>Fire station, clinic, hospital, police station, transportation</v>
      </c>
    </row>
    <row r="111" spans="1:17">
      <c r="A111" t="str">
        <f>'Modeling Data'!A111</f>
        <v xml:space="preserve">SS Healthcare, Exam/Treatment  </v>
      </c>
      <c r="B111" s="134">
        <f>'Modeling Data'!G111</f>
        <v>1</v>
      </c>
      <c r="C111" s="169">
        <f>'Modeling Data'!H111</f>
        <v>0.1</v>
      </c>
      <c r="D111" s="26">
        <f>'Modeling Data'!I111</f>
        <v>1.2488271893219809</v>
      </c>
      <c r="E111" s="135">
        <f>'Modeling Data'!N111</f>
        <v>7</v>
      </c>
      <c r="F111" s="172">
        <f>'Modeling Data'!R111</f>
        <v>200</v>
      </c>
      <c r="G111" s="172">
        <f>'Modeling Data'!S111</f>
        <v>250</v>
      </c>
      <c r="H111" s="172">
        <f>'Modeling Data'!T111</f>
        <v>200</v>
      </c>
      <c r="I111" s="26">
        <f>'Modeling Data'!U111</f>
        <v>0.47</v>
      </c>
      <c r="J111" s="135">
        <f>'Modeling Data'!W111</f>
        <v>160</v>
      </c>
      <c r="K111" s="172">
        <f>'Modeling Data'!X111</f>
        <v>300</v>
      </c>
      <c r="L111" s="26">
        <f>'Modeling Data'!Y111</f>
        <v>1.1301369863013697</v>
      </c>
      <c r="M111" s="26">
        <f>'Modeling Data'!Z111</f>
        <v>8.1050228310502279E-2</v>
      </c>
      <c r="N111" s="32" t="str">
        <f>'Modeling Data'!AA111</f>
        <v xml:space="preserve">Non-Residential </v>
      </c>
      <c r="O111" s="177" t="str">
        <f>'Modeling Data'!AB111</f>
        <v>C-2 Public</v>
      </c>
      <c r="P111" s="176">
        <f>'Modeling Data'!AC111</f>
        <v>0</v>
      </c>
      <c r="Q111" s="176" t="str">
        <f>'Modeling Data'!AE111</f>
        <v>Fire station, clinic, hospital, police station, transportation</v>
      </c>
    </row>
    <row r="112" spans="1:17">
      <c r="A112" t="str">
        <f>'Modeling Data'!A112</f>
        <v>SS Healthcare, Supply Room</v>
      </c>
      <c r="B112" s="134">
        <f>'Modeling Data'!G112</f>
        <v>1</v>
      </c>
      <c r="C112" s="169">
        <f>'Modeling Data'!H112</f>
        <v>0.45</v>
      </c>
      <c r="D112" s="26">
        <f>'Modeling Data'!I112</f>
        <v>1.2488271893219809</v>
      </c>
      <c r="E112" s="135">
        <f>'Modeling Data'!N112</f>
        <v>7</v>
      </c>
      <c r="F112" s="172">
        <f>'Modeling Data'!R112</f>
        <v>200</v>
      </c>
      <c r="G112" s="172">
        <f>'Modeling Data'!S112</f>
        <v>250</v>
      </c>
      <c r="H112" s="172">
        <f>'Modeling Data'!T112</f>
        <v>200</v>
      </c>
      <c r="I112" s="26">
        <f>'Modeling Data'!U112</f>
        <v>0.47</v>
      </c>
      <c r="J112" s="135">
        <f>'Modeling Data'!W112</f>
        <v>160</v>
      </c>
      <c r="K112" s="172">
        <f>'Modeling Data'!X112</f>
        <v>0</v>
      </c>
      <c r="L112" s="26">
        <f>'Modeling Data'!Y112</f>
        <v>1.1301369863013697</v>
      </c>
      <c r="M112" s="26">
        <f>'Modeling Data'!Z112</f>
        <v>8.1050228310502279E-2</v>
      </c>
      <c r="N112" s="32" t="str">
        <f>'Modeling Data'!AA112</f>
        <v xml:space="preserve">Non-Residential </v>
      </c>
      <c r="O112" s="177" t="str">
        <f>'Modeling Data'!AB112</f>
        <v>C-2 Public</v>
      </c>
      <c r="P112" s="176">
        <f>'Modeling Data'!AC112</f>
        <v>0</v>
      </c>
      <c r="Q112" s="176" t="str">
        <f>'Modeling Data'!AE112</f>
        <v>Fire station, clinic, hospital, police station, transportation</v>
      </c>
    </row>
    <row r="113" spans="1:17">
      <c r="A113" t="str">
        <f>'Modeling Data'!A113</f>
        <v xml:space="preserve">SS Healthcare, Nursery  </v>
      </c>
      <c r="B113" s="134">
        <f>'Modeling Data'!G113</f>
        <v>1</v>
      </c>
      <c r="C113" s="169">
        <f>'Modeling Data'!H113</f>
        <v>0.1</v>
      </c>
      <c r="D113" s="26">
        <f>'Modeling Data'!I113</f>
        <v>1.2488271893219809</v>
      </c>
      <c r="E113" s="135">
        <f>'Modeling Data'!N113</f>
        <v>7</v>
      </c>
      <c r="F113" s="172">
        <f>'Modeling Data'!R113</f>
        <v>200</v>
      </c>
      <c r="G113" s="172">
        <f>'Modeling Data'!S113</f>
        <v>250</v>
      </c>
      <c r="H113" s="172">
        <f>'Modeling Data'!T113</f>
        <v>200</v>
      </c>
      <c r="I113" s="26">
        <f>'Modeling Data'!U113</f>
        <v>0.47</v>
      </c>
      <c r="J113" s="135">
        <f>'Modeling Data'!W113</f>
        <v>160</v>
      </c>
      <c r="K113" s="172">
        <f>'Modeling Data'!X113</f>
        <v>300</v>
      </c>
      <c r="L113" s="26">
        <f>'Modeling Data'!Y113</f>
        <v>1.1301369863013697</v>
      </c>
      <c r="M113" s="26">
        <f>'Modeling Data'!Z113</f>
        <v>8.1050228310502279E-2</v>
      </c>
      <c r="N113" s="32" t="str">
        <f>'Modeling Data'!AA113</f>
        <v xml:space="preserve">Non-Residential </v>
      </c>
      <c r="O113" s="177" t="str">
        <f>'Modeling Data'!AB113</f>
        <v>C-2 Public</v>
      </c>
      <c r="P113" s="176">
        <f>'Modeling Data'!AC113</f>
        <v>0</v>
      </c>
      <c r="Q113" s="176" t="str">
        <f>'Modeling Data'!AE113</f>
        <v>Fire station, clinic, hospital, police station, transportation</v>
      </c>
    </row>
    <row r="114" spans="1:17">
      <c r="A114" t="str">
        <f>'Modeling Data'!A114</f>
        <v xml:space="preserve">SS Healthcare, Nurses’ Station  </v>
      </c>
      <c r="B114" s="134">
        <f>'Modeling Data'!G114</f>
        <v>1</v>
      </c>
      <c r="C114" s="169">
        <f>'Modeling Data'!H114</f>
        <v>0.1</v>
      </c>
      <c r="D114" s="26">
        <f>'Modeling Data'!I114</f>
        <v>1.2488271893219809</v>
      </c>
      <c r="E114" s="135">
        <f>'Modeling Data'!N114</f>
        <v>7</v>
      </c>
      <c r="F114" s="172">
        <f>'Modeling Data'!R114</f>
        <v>200</v>
      </c>
      <c r="G114" s="172">
        <f>'Modeling Data'!S114</f>
        <v>250</v>
      </c>
      <c r="H114" s="172">
        <f>'Modeling Data'!T114</f>
        <v>200</v>
      </c>
      <c r="I114" s="26">
        <f>'Modeling Data'!U114</f>
        <v>0.47</v>
      </c>
      <c r="J114" s="135">
        <f>'Modeling Data'!W114</f>
        <v>160</v>
      </c>
      <c r="K114" s="172">
        <f>'Modeling Data'!X114</f>
        <v>150</v>
      </c>
      <c r="L114" s="26">
        <f>'Modeling Data'!Y114</f>
        <v>1.1301369863013697</v>
      </c>
      <c r="M114" s="26">
        <f>'Modeling Data'!Z114</f>
        <v>8.1050228310502279E-2</v>
      </c>
      <c r="N114" s="32" t="str">
        <f>'Modeling Data'!AA114</f>
        <v xml:space="preserve">Non-Residential </v>
      </c>
      <c r="O114" s="177" t="str">
        <f>'Modeling Data'!AB114</f>
        <v>C-2 Public</v>
      </c>
      <c r="P114" s="176">
        <f>'Modeling Data'!AC114</f>
        <v>0</v>
      </c>
      <c r="Q114" s="176" t="str">
        <f>'Modeling Data'!AE114</f>
        <v>Fire station, clinic, hospital, police station, transportation</v>
      </c>
    </row>
    <row r="115" spans="1:17">
      <c r="A115" t="str">
        <f>'Modeling Data'!A115</f>
        <v xml:space="preserve">SS Healthcare, Operating Room  </v>
      </c>
      <c r="B115" s="134">
        <f>'Modeling Data'!G115</f>
        <v>1</v>
      </c>
      <c r="C115" s="169">
        <f>'Modeling Data'!H115</f>
        <v>0.1</v>
      </c>
      <c r="D115" s="26">
        <f>'Modeling Data'!I115</f>
        <v>1.2488271893219809</v>
      </c>
      <c r="E115" s="135">
        <f>'Modeling Data'!N115</f>
        <v>7</v>
      </c>
      <c r="F115" s="172">
        <f>'Modeling Data'!R115</f>
        <v>200</v>
      </c>
      <c r="G115" s="172">
        <f>'Modeling Data'!S115</f>
        <v>250</v>
      </c>
      <c r="H115" s="172">
        <f>'Modeling Data'!T115</f>
        <v>200</v>
      </c>
      <c r="I115" s="26">
        <f>'Modeling Data'!U115</f>
        <v>0.47</v>
      </c>
      <c r="J115" s="135">
        <f>'Modeling Data'!W115</f>
        <v>160</v>
      </c>
      <c r="K115" s="172">
        <f>'Modeling Data'!X115</f>
        <v>1000</v>
      </c>
      <c r="L115" s="26">
        <f>'Modeling Data'!Y115</f>
        <v>1.1301369863013697</v>
      </c>
      <c r="M115" s="26">
        <f>'Modeling Data'!Z115</f>
        <v>8.1050228310502279E-2</v>
      </c>
      <c r="N115" s="32" t="str">
        <f>'Modeling Data'!AA115</f>
        <v xml:space="preserve">Non-Residential </v>
      </c>
      <c r="O115" s="177" t="str">
        <f>'Modeling Data'!AB115</f>
        <v>C-2 Public</v>
      </c>
      <c r="P115" s="176">
        <f>'Modeling Data'!AC115</f>
        <v>0</v>
      </c>
      <c r="Q115" s="176" t="str">
        <f>'Modeling Data'!AE115</f>
        <v>Fire station, clinic, hospital, police station, transportation</v>
      </c>
    </row>
    <row r="116" spans="1:17">
      <c r="A116" t="str">
        <f>'Modeling Data'!A116</f>
        <v xml:space="preserve">SS Healthcare, Patient Room  </v>
      </c>
      <c r="B116" s="134">
        <f>'Modeling Data'!G116</f>
        <v>1</v>
      </c>
      <c r="C116" s="169">
        <f>'Modeling Data'!H116</f>
        <v>0.1</v>
      </c>
      <c r="D116" s="26">
        <f>'Modeling Data'!I116</f>
        <v>1.2488271893219809</v>
      </c>
      <c r="E116" s="135">
        <f>'Modeling Data'!N116</f>
        <v>7</v>
      </c>
      <c r="F116" s="172">
        <f>'Modeling Data'!R116</f>
        <v>200</v>
      </c>
      <c r="G116" s="172">
        <f>'Modeling Data'!S116</f>
        <v>250</v>
      </c>
      <c r="H116" s="172">
        <f>'Modeling Data'!T116</f>
        <v>200</v>
      </c>
      <c r="I116" s="26">
        <f>'Modeling Data'!U116</f>
        <v>0.47</v>
      </c>
      <c r="J116" s="135">
        <f>'Modeling Data'!W116</f>
        <v>160</v>
      </c>
      <c r="K116" s="172">
        <f>'Modeling Data'!X116</f>
        <v>300</v>
      </c>
      <c r="L116" s="26">
        <f>'Modeling Data'!Y116</f>
        <v>1.1301369863013697</v>
      </c>
      <c r="M116" s="26">
        <f>'Modeling Data'!Z116</f>
        <v>8.1050228310502279E-2</v>
      </c>
      <c r="N116" s="32" t="str">
        <f>'Modeling Data'!AA116</f>
        <v xml:space="preserve">Non-Residential </v>
      </c>
      <c r="O116" s="177" t="str">
        <f>'Modeling Data'!AB116</f>
        <v>C-2 Public</v>
      </c>
      <c r="P116" s="176">
        <f>'Modeling Data'!AC116</f>
        <v>0</v>
      </c>
      <c r="Q116" s="176" t="str">
        <f>'Modeling Data'!AE116</f>
        <v>Fire station, clinic, hospital, police station, transportation</v>
      </c>
    </row>
    <row r="117" spans="1:17">
      <c r="A117" t="str">
        <f>'Modeling Data'!A117</f>
        <v xml:space="preserve">SS Healthcare, Physical Therapy  </v>
      </c>
      <c r="B117" s="134">
        <f>'Modeling Data'!G117</f>
        <v>1</v>
      </c>
      <c r="C117" s="169">
        <f>'Modeling Data'!H117</f>
        <v>0.1</v>
      </c>
      <c r="D117" s="26">
        <f>'Modeling Data'!I117</f>
        <v>1.2488271893219809</v>
      </c>
      <c r="E117" s="135">
        <f>'Modeling Data'!N117</f>
        <v>7</v>
      </c>
      <c r="F117" s="172">
        <f>'Modeling Data'!R117</f>
        <v>200</v>
      </c>
      <c r="G117" s="172">
        <f>'Modeling Data'!S117</f>
        <v>250</v>
      </c>
      <c r="H117" s="172">
        <f>'Modeling Data'!T117</f>
        <v>200</v>
      </c>
      <c r="I117" s="26">
        <f>'Modeling Data'!U117</f>
        <v>0.47</v>
      </c>
      <c r="J117" s="135">
        <f>'Modeling Data'!W117</f>
        <v>160</v>
      </c>
      <c r="K117" s="172">
        <f>'Modeling Data'!X117</f>
        <v>150</v>
      </c>
      <c r="L117" s="26">
        <f>'Modeling Data'!Y117</f>
        <v>1.1301369863013697</v>
      </c>
      <c r="M117" s="26">
        <f>'Modeling Data'!Z117</f>
        <v>8.1050228310502279E-2</v>
      </c>
      <c r="N117" s="32" t="str">
        <f>'Modeling Data'!AA117</f>
        <v xml:space="preserve">Non-Residential </v>
      </c>
      <c r="O117" s="177" t="str">
        <f>'Modeling Data'!AB117</f>
        <v>C-2 Public</v>
      </c>
      <c r="P117" s="176">
        <f>'Modeling Data'!AC117</f>
        <v>0</v>
      </c>
      <c r="Q117" s="176" t="str">
        <f>'Modeling Data'!AE117</f>
        <v>Fire station, clinic, hospital, police station, transportation</v>
      </c>
    </row>
    <row r="118" spans="1:17">
      <c r="A118" t="str">
        <f>'Modeling Data'!A118</f>
        <v>SS Healthcare, Recovery Room</v>
      </c>
      <c r="B118" s="134">
        <f>'Modeling Data'!G118</f>
        <v>1</v>
      </c>
      <c r="C118" s="169">
        <f>'Modeling Data'!H118</f>
        <v>0.1</v>
      </c>
      <c r="D118" s="26">
        <f>'Modeling Data'!I118</f>
        <v>1.2488271893219809</v>
      </c>
      <c r="E118" s="135">
        <f>'Modeling Data'!N118</f>
        <v>7</v>
      </c>
      <c r="F118" s="172">
        <f>'Modeling Data'!R118</f>
        <v>200</v>
      </c>
      <c r="G118" s="172">
        <f>'Modeling Data'!S118</f>
        <v>250</v>
      </c>
      <c r="H118" s="172">
        <f>'Modeling Data'!T118</f>
        <v>200</v>
      </c>
      <c r="I118" s="26">
        <f>'Modeling Data'!U118</f>
        <v>0.47</v>
      </c>
      <c r="J118" s="135">
        <f>'Modeling Data'!W118</f>
        <v>160</v>
      </c>
      <c r="K118" s="172">
        <f>'Modeling Data'!X118</f>
        <v>600</v>
      </c>
      <c r="L118" s="26">
        <f>'Modeling Data'!Y118</f>
        <v>1.1301369863013697</v>
      </c>
      <c r="M118" s="26">
        <f>'Modeling Data'!Z118</f>
        <v>8.1050228310502279E-2</v>
      </c>
      <c r="N118" s="32" t="str">
        <f>'Modeling Data'!AA118</f>
        <v xml:space="preserve">Non-Residential </v>
      </c>
      <c r="O118" s="177" t="str">
        <f>'Modeling Data'!AB118</f>
        <v>C-2 Public</v>
      </c>
      <c r="P118" s="176">
        <f>'Modeling Data'!AC118</f>
        <v>0</v>
      </c>
      <c r="Q118" s="176" t="str">
        <f>'Modeling Data'!AE118</f>
        <v>Fire station, clinic, hospital, police station, transportation</v>
      </c>
    </row>
    <row r="119" spans="1:17">
      <c r="A119" t="str">
        <f>'Modeling Data'!A119</f>
        <v xml:space="preserve">SS Library, Reading Area  </v>
      </c>
      <c r="B119" s="134">
        <f>'Modeling Data'!G119</f>
        <v>1</v>
      </c>
      <c r="C119" s="169">
        <f>'Modeling Data'!H119</f>
        <v>0.15</v>
      </c>
      <c r="D119" s="26">
        <f>'Modeling Data'!I119</f>
        <v>0.93722970243154469</v>
      </c>
      <c r="E119" s="135">
        <f>'Modeling Data'!N119</f>
        <v>7</v>
      </c>
      <c r="F119" s="172">
        <f>'Modeling Data'!R119</f>
        <v>100</v>
      </c>
      <c r="G119" s="172">
        <f>'Modeling Data'!S119</f>
        <v>250</v>
      </c>
      <c r="H119" s="172">
        <f>'Modeling Data'!T119</f>
        <v>200</v>
      </c>
      <c r="I119" s="26">
        <f>'Modeling Data'!U119</f>
        <v>0.11</v>
      </c>
      <c r="J119" s="135">
        <f>'Modeling Data'!W119</f>
        <v>120</v>
      </c>
      <c r="K119" s="172">
        <f>'Modeling Data'!X119</f>
        <v>300</v>
      </c>
      <c r="L119" s="26">
        <f>'Modeling Data'!Y119</f>
        <v>2.2831050228310501E-2</v>
      </c>
      <c r="M119" s="26">
        <f>'Modeling Data'!Z119</f>
        <v>6.6210045662100453E-2</v>
      </c>
      <c r="N119" s="32" t="str">
        <f>'Modeling Data'!AA119</f>
        <v xml:space="preserve">Non-Residential </v>
      </c>
      <c r="O119" s="177" t="str">
        <f>'Modeling Data'!AB119</f>
        <v>C-8 Retail</v>
      </c>
      <c r="P119" s="176">
        <f>'Modeling Data'!AC119</f>
        <v>0</v>
      </c>
      <c r="Q119" s="176" t="str">
        <f>'Modeling Data'!AE119</f>
        <v>Library, museum, retail</v>
      </c>
    </row>
    <row r="120" spans="1:17">
      <c r="A120" t="str">
        <f>'Modeling Data'!A120</f>
        <v xml:space="preserve">SS Library, Stacks  </v>
      </c>
      <c r="B120" s="134">
        <f>'Modeling Data'!G120</f>
        <v>1</v>
      </c>
      <c r="C120" s="169">
        <f>'Modeling Data'!H120</f>
        <v>0.15</v>
      </c>
      <c r="D120" s="26">
        <f>'Modeling Data'!I120</f>
        <v>0.93722970243154469</v>
      </c>
      <c r="E120" s="135">
        <f>'Modeling Data'!N120</f>
        <v>7</v>
      </c>
      <c r="F120" s="172">
        <f>'Modeling Data'!R120</f>
        <v>100</v>
      </c>
      <c r="G120" s="172">
        <f>'Modeling Data'!S120</f>
        <v>250</v>
      </c>
      <c r="H120" s="172">
        <f>'Modeling Data'!T120</f>
        <v>200</v>
      </c>
      <c r="I120" s="26">
        <f>'Modeling Data'!U120</f>
        <v>0.11</v>
      </c>
      <c r="J120" s="135">
        <f>'Modeling Data'!W120</f>
        <v>120</v>
      </c>
      <c r="K120" s="172">
        <f>'Modeling Data'!X120</f>
        <v>300</v>
      </c>
      <c r="L120" s="26">
        <f>'Modeling Data'!Y120</f>
        <v>2.2831050228310501E-2</v>
      </c>
      <c r="M120" s="26">
        <f>'Modeling Data'!Z120</f>
        <v>6.6210045662100453E-2</v>
      </c>
      <c r="N120" s="32" t="str">
        <f>'Modeling Data'!AA120</f>
        <v xml:space="preserve">Non-Residential </v>
      </c>
      <c r="O120" s="177" t="str">
        <f>'Modeling Data'!AB120</f>
        <v>C-8 Retail</v>
      </c>
      <c r="P120" s="176">
        <f>'Modeling Data'!AC120</f>
        <v>0</v>
      </c>
      <c r="Q120" s="176" t="str">
        <f>'Modeling Data'!AE120</f>
        <v>Library, museum, retail</v>
      </c>
    </row>
    <row r="121" spans="1:17">
      <c r="A121" t="str">
        <f>'Modeling Data'!A121</f>
        <v xml:space="preserve">SS Manufacturing Facility, Detailed Manufacturing  </v>
      </c>
      <c r="B121" s="134">
        <f>'Modeling Data'!G121</f>
        <v>1</v>
      </c>
      <c r="C121" s="169">
        <f>'Modeling Data'!H121</f>
        <v>0.1</v>
      </c>
      <c r="D121" s="26">
        <f>'Modeling Data'!I121</f>
        <v>0.34481488715257669</v>
      </c>
      <c r="E121" s="135">
        <f>'Modeling Data'!N121</f>
        <v>7</v>
      </c>
      <c r="F121" s="172">
        <f>'Modeling Data'!R121</f>
        <v>143</v>
      </c>
      <c r="G121" s="172">
        <f>'Modeling Data'!S121</f>
        <v>580</v>
      </c>
      <c r="H121" s="172">
        <f>'Modeling Data'!T121</f>
        <v>870</v>
      </c>
      <c r="I121" s="26">
        <f>'Modeling Data'!U121</f>
        <v>0.25</v>
      </c>
      <c r="J121" s="135">
        <f>'Modeling Data'!W121</f>
        <v>120</v>
      </c>
      <c r="K121" s="172">
        <f>'Modeling Data'!X121</f>
        <v>175</v>
      </c>
      <c r="L121" s="26">
        <f>'Modeling Data'!Y121</f>
        <v>0.75342465753424659</v>
      </c>
      <c r="M121" s="26">
        <f>'Modeling Data'!Z121</f>
        <v>9.8173515981735154E-2</v>
      </c>
      <c r="N121" s="32" t="str">
        <f>'Modeling Data'!AA121</f>
        <v xml:space="preserve">Non-Residential </v>
      </c>
      <c r="O121" s="177" t="str">
        <f>'Modeling Data'!AB121</f>
        <v>C-4 Manufacturing</v>
      </c>
      <c r="P121" s="176">
        <f>'Modeling Data'!AC121</f>
        <v>0</v>
      </c>
      <c r="Q121" s="176" t="str">
        <f>'Modeling Data'!AE121</f>
        <v>Automotive facility, workshop, manufacturing facility</v>
      </c>
    </row>
    <row r="122" spans="1:17">
      <c r="A122" t="str">
        <f>'Modeling Data'!A122</f>
        <v xml:space="preserve">SS Manufacturing Facility, Equipment Room  </v>
      </c>
      <c r="B122" s="134">
        <f>'Modeling Data'!G122</f>
        <v>1</v>
      </c>
      <c r="C122" s="169">
        <f>'Modeling Data'!H122</f>
        <v>0.1</v>
      </c>
      <c r="D122" s="26">
        <f>'Modeling Data'!I122</f>
        <v>0.34481488715257669</v>
      </c>
      <c r="E122" s="135">
        <f>'Modeling Data'!N122</f>
        <v>7</v>
      </c>
      <c r="F122" s="172">
        <f>'Modeling Data'!R122</f>
        <v>143</v>
      </c>
      <c r="G122" s="172">
        <f>'Modeling Data'!S122</f>
        <v>580</v>
      </c>
      <c r="H122" s="172">
        <f>'Modeling Data'!T122</f>
        <v>870</v>
      </c>
      <c r="I122" s="26">
        <f>'Modeling Data'!U122</f>
        <v>0.25</v>
      </c>
      <c r="J122" s="135">
        <f>'Modeling Data'!W122</f>
        <v>120</v>
      </c>
      <c r="K122" s="172">
        <f>'Modeling Data'!X122</f>
        <v>1000</v>
      </c>
      <c r="L122" s="26">
        <f>'Modeling Data'!Y122</f>
        <v>0.75342465753424659</v>
      </c>
      <c r="M122" s="26">
        <f>'Modeling Data'!Z122</f>
        <v>9.8173515981735154E-2</v>
      </c>
      <c r="N122" s="32" t="str">
        <f>'Modeling Data'!AA122</f>
        <v xml:space="preserve">Non-Residential </v>
      </c>
      <c r="O122" s="177" t="str">
        <f>'Modeling Data'!AB122</f>
        <v>C-4 Manufacturing</v>
      </c>
      <c r="P122" s="176">
        <f>'Modeling Data'!AC122</f>
        <v>0</v>
      </c>
      <c r="Q122" s="176" t="str">
        <f>'Modeling Data'!AE122</f>
        <v>Automotive facility, workshop, manufacturing facility</v>
      </c>
    </row>
    <row r="123" spans="1:17">
      <c r="A123" t="str">
        <f>'Modeling Data'!A123</f>
        <v xml:space="preserve">SS Manufacturing Facility, Extra High Bay (&gt;50 ft Floor to Ceiling Height)  </v>
      </c>
      <c r="B123" s="134">
        <f>'Modeling Data'!G123</f>
        <v>1</v>
      </c>
      <c r="C123" s="169">
        <f>'Modeling Data'!H123</f>
        <v>0.1</v>
      </c>
      <c r="D123" s="26">
        <f>'Modeling Data'!I123</f>
        <v>0.34481488715257669</v>
      </c>
      <c r="E123" s="135">
        <f>'Modeling Data'!N123</f>
        <v>7</v>
      </c>
      <c r="F123" s="172">
        <f>'Modeling Data'!R123</f>
        <v>143</v>
      </c>
      <c r="G123" s="172">
        <f>'Modeling Data'!S123</f>
        <v>580</v>
      </c>
      <c r="H123" s="172">
        <f>'Modeling Data'!T123</f>
        <v>870</v>
      </c>
      <c r="I123" s="26">
        <f>'Modeling Data'!U123</f>
        <v>0.25</v>
      </c>
      <c r="J123" s="135">
        <f>'Modeling Data'!W123</f>
        <v>120</v>
      </c>
      <c r="K123" s="172">
        <f>'Modeling Data'!X123</f>
        <v>175</v>
      </c>
      <c r="L123" s="26">
        <f>'Modeling Data'!Y123</f>
        <v>0.75342465753424659</v>
      </c>
      <c r="M123" s="26">
        <f>'Modeling Data'!Z123</f>
        <v>9.8173515981735154E-2</v>
      </c>
      <c r="N123" s="32" t="str">
        <f>'Modeling Data'!AA123</f>
        <v xml:space="preserve">Non-Residential </v>
      </c>
      <c r="O123" s="177" t="str">
        <f>'Modeling Data'!AB123</f>
        <v>C-4 Manufacturing</v>
      </c>
      <c r="P123" s="176">
        <f>'Modeling Data'!AC123</f>
        <v>0</v>
      </c>
      <c r="Q123" s="176" t="str">
        <f>'Modeling Data'!AE123</f>
        <v>Automotive facility, workshop, manufacturing facility</v>
      </c>
    </row>
    <row r="124" spans="1:17">
      <c r="A124" t="str">
        <f>'Modeling Data'!A124</f>
        <v xml:space="preserve">SS Manufacturing Facility, High Bay  (25–50 ft Floor to Ceiling  Height)  </v>
      </c>
      <c r="B124" s="134">
        <f>'Modeling Data'!G124</f>
        <v>1</v>
      </c>
      <c r="C124" s="169">
        <f>'Modeling Data'!H124</f>
        <v>0.1</v>
      </c>
      <c r="D124" s="26">
        <f>'Modeling Data'!I124</f>
        <v>0.34481488715257669</v>
      </c>
      <c r="E124" s="135">
        <f>'Modeling Data'!N124</f>
        <v>7</v>
      </c>
      <c r="F124" s="172">
        <f>'Modeling Data'!R124</f>
        <v>143</v>
      </c>
      <c r="G124" s="172">
        <f>'Modeling Data'!S124</f>
        <v>580</v>
      </c>
      <c r="H124" s="172">
        <f>'Modeling Data'!T124</f>
        <v>870</v>
      </c>
      <c r="I124" s="26">
        <f>'Modeling Data'!U124</f>
        <v>0.25</v>
      </c>
      <c r="J124" s="135">
        <f>'Modeling Data'!W124</f>
        <v>120</v>
      </c>
      <c r="K124" s="172">
        <f>'Modeling Data'!X124</f>
        <v>175</v>
      </c>
      <c r="L124" s="26">
        <f>'Modeling Data'!Y124</f>
        <v>0.75342465753424659</v>
      </c>
      <c r="M124" s="26">
        <f>'Modeling Data'!Z124</f>
        <v>9.8173515981735154E-2</v>
      </c>
      <c r="N124" s="32" t="str">
        <f>'Modeling Data'!AA124</f>
        <v xml:space="preserve">Non-Residential </v>
      </c>
      <c r="O124" s="177" t="str">
        <f>'Modeling Data'!AB124</f>
        <v>C-4 Manufacturing</v>
      </c>
      <c r="P124" s="176">
        <f>'Modeling Data'!AC124</f>
        <v>0</v>
      </c>
      <c r="Q124" s="176" t="str">
        <f>'Modeling Data'!AE124</f>
        <v>Automotive facility, workshop, manufacturing facility</v>
      </c>
    </row>
    <row r="125" spans="1:17">
      <c r="A125" t="str">
        <f>'Modeling Data'!A125</f>
        <v xml:space="preserve">SS Manufacturing Facility, Low Bay (&lt;25 ft Floor to Ceiling Height)  </v>
      </c>
      <c r="B125" s="134">
        <f>'Modeling Data'!G125</f>
        <v>1</v>
      </c>
      <c r="C125" s="169">
        <f>'Modeling Data'!H125</f>
        <v>0.1</v>
      </c>
      <c r="D125" s="26">
        <f>'Modeling Data'!I125</f>
        <v>0.34481488715257669</v>
      </c>
      <c r="E125" s="135">
        <f>'Modeling Data'!N125</f>
        <v>7</v>
      </c>
      <c r="F125" s="172">
        <f>'Modeling Data'!R125</f>
        <v>143</v>
      </c>
      <c r="G125" s="172">
        <f>'Modeling Data'!S125</f>
        <v>580</v>
      </c>
      <c r="H125" s="172">
        <f>'Modeling Data'!T125</f>
        <v>870</v>
      </c>
      <c r="I125" s="26">
        <f>'Modeling Data'!U125</f>
        <v>0.25</v>
      </c>
      <c r="J125" s="135">
        <f>'Modeling Data'!W125</f>
        <v>120</v>
      </c>
      <c r="K125" s="172">
        <f>'Modeling Data'!X125</f>
        <v>175</v>
      </c>
      <c r="L125" s="26">
        <f>'Modeling Data'!Y125</f>
        <v>0.75342465753424659</v>
      </c>
      <c r="M125" s="26">
        <f>'Modeling Data'!Z125</f>
        <v>9.8173515981735154E-2</v>
      </c>
      <c r="N125" s="32" t="str">
        <f>'Modeling Data'!AA125</f>
        <v xml:space="preserve">Non-Residential </v>
      </c>
      <c r="O125" s="177" t="str">
        <f>'Modeling Data'!AB125</f>
        <v>C-4 Manufacturing</v>
      </c>
      <c r="P125" s="176">
        <f>'Modeling Data'!AC125</f>
        <v>0</v>
      </c>
      <c r="Q125" s="176" t="str">
        <f>'Modeling Data'!AE125</f>
        <v>Automotive facility, workshop, manufacturing facility</v>
      </c>
    </row>
    <row r="126" spans="1:17">
      <c r="A126" t="str">
        <f>'Modeling Data'!A126</f>
        <v xml:space="preserve">SS Museum, General Exhibition  </v>
      </c>
      <c r="B126" s="134">
        <f>'Modeling Data'!G126</f>
        <v>1</v>
      </c>
      <c r="C126" s="169">
        <f>'Modeling Data'!H126</f>
        <v>0.1</v>
      </c>
      <c r="D126" s="26">
        <f>'Modeling Data'!I126</f>
        <v>0.74485358050420625</v>
      </c>
      <c r="E126" s="135">
        <f>'Modeling Data'!N126</f>
        <v>7</v>
      </c>
      <c r="F126" s="172">
        <f>'Modeling Data'!R126</f>
        <v>25</v>
      </c>
      <c r="G126" s="172">
        <f>'Modeling Data'!S126</f>
        <v>250</v>
      </c>
      <c r="H126" s="172">
        <f>'Modeling Data'!T126</f>
        <v>200</v>
      </c>
      <c r="I126" s="26">
        <f>'Modeling Data'!U126</f>
        <v>0.36</v>
      </c>
      <c r="J126" s="135">
        <f>'Modeling Data'!W126</f>
        <v>60</v>
      </c>
      <c r="K126" s="172">
        <f>'Modeling Data'!X126</f>
        <v>215</v>
      </c>
      <c r="L126" s="26">
        <f>'Modeling Data'!Y126</f>
        <v>2.2831050228310501E-2</v>
      </c>
      <c r="M126" s="26">
        <f>'Modeling Data'!Z126</f>
        <v>6.6210045662100453E-2</v>
      </c>
      <c r="N126" s="32" t="str">
        <f>'Modeling Data'!AA126</f>
        <v xml:space="preserve">Non-Residential </v>
      </c>
      <c r="O126" s="177" t="str">
        <f>'Modeling Data'!AB126</f>
        <v>C-8 Retail</v>
      </c>
      <c r="P126" s="176">
        <f>'Modeling Data'!AC126</f>
        <v>0</v>
      </c>
      <c r="Q126" s="176" t="str">
        <f>'Modeling Data'!AE126</f>
        <v>Library, museum, retail</v>
      </c>
    </row>
    <row r="127" spans="1:17">
      <c r="A127" t="str">
        <f>'Modeling Data'!A127</f>
        <v xml:space="preserve">SS Museum, Restoration  </v>
      </c>
      <c r="B127" s="134">
        <f>'Modeling Data'!G127</f>
        <v>1</v>
      </c>
      <c r="C127" s="169">
        <f>'Modeling Data'!H127</f>
        <v>0.1</v>
      </c>
      <c r="D127" s="26">
        <f>'Modeling Data'!I127</f>
        <v>0.42833678057910263</v>
      </c>
      <c r="E127" s="135">
        <f>'Modeling Data'!N127</f>
        <v>7</v>
      </c>
      <c r="F127" s="172">
        <f>'Modeling Data'!R127</f>
        <v>25</v>
      </c>
      <c r="G127" s="172">
        <f>'Modeling Data'!S127</f>
        <v>250</v>
      </c>
      <c r="H127" s="172">
        <f>'Modeling Data'!T127</f>
        <v>200</v>
      </c>
      <c r="I127" s="26">
        <f>'Modeling Data'!U127</f>
        <v>0.36</v>
      </c>
      <c r="J127" s="135">
        <f>'Modeling Data'!W127</f>
        <v>120</v>
      </c>
      <c r="K127" s="172">
        <f>'Modeling Data'!X127</f>
        <v>175</v>
      </c>
      <c r="L127" s="26">
        <f>'Modeling Data'!Y127</f>
        <v>0.75342465753424659</v>
      </c>
      <c r="M127" s="26">
        <f>'Modeling Data'!Z127</f>
        <v>9.8173515981735154E-2</v>
      </c>
      <c r="N127" s="32" t="str">
        <f>'Modeling Data'!AA127</f>
        <v xml:space="preserve">Non-Residential </v>
      </c>
      <c r="O127" s="177" t="str">
        <f>'Modeling Data'!AB127</f>
        <v>C-8 Retail</v>
      </c>
      <c r="P127" s="176">
        <f>'Modeling Data'!AC127</f>
        <v>0</v>
      </c>
      <c r="Q127" s="176" t="str">
        <f>'Modeling Data'!AE127</f>
        <v>Library, museum, retail</v>
      </c>
    </row>
    <row r="128" spans="1:17">
      <c r="A128" t="str">
        <f>'Modeling Data'!A128</f>
        <v xml:space="preserve">SS Post Office, Sorting Area  </v>
      </c>
      <c r="B128" s="134">
        <f>'Modeling Data'!G128</f>
        <v>1</v>
      </c>
      <c r="C128" s="169">
        <f>'Modeling Data'!H128</f>
        <v>0.1</v>
      </c>
      <c r="D128" s="26">
        <f>'Modeling Data'!I128</f>
        <v>1.6689815831571153</v>
      </c>
      <c r="E128" s="135">
        <f>'Modeling Data'!N128</f>
        <v>7</v>
      </c>
      <c r="F128" s="172">
        <f>'Modeling Data'!R128</f>
        <v>33</v>
      </c>
      <c r="G128" s="172">
        <f>'Modeling Data'!S128</f>
        <v>250</v>
      </c>
      <c r="H128" s="172">
        <f>'Modeling Data'!T128</f>
        <v>200</v>
      </c>
      <c r="I128" s="26">
        <f>'Modeling Data'!U128</f>
        <v>0.21</v>
      </c>
      <c r="J128" s="135">
        <f>'Modeling Data'!W128</f>
        <v>106</v>
      </c>
      <c r="K128" s="172">
        <f>'Modeling Data'!X128</f>
        <v>175</v>
      </c>
      <c r="L128" s="26">
        <f>'Modeling Data'!Y128</f>
        <v>2.2831050228310501E-2</v>
      </c>
      <c r="M128" s="26">
        <f>'Modeling Data'!Z128</f>
        <v>6.6210045662100453E-2</v>
      </c>
      <c r="N128" s="32" t="str">
        <f>'Modeling Data'!AA128</f>
        <v xml:space="preserve">Non-Residential </v>
      </c>
      <c r="O128" s="177" t="str">
        <f>'Modeling Data'!AB128</f>
        <v>C-5 Office</v>
      </c>
      <c r="P128" s="176">
        <f>'Modeling Data'!AC128</f>
        <v>0</v>
      </c>
      <c r="Q128" s="176" t="str">
        <f>'Modeling Data'!AE128</f>
        <v>courthouse, office, post office, town hall</v>
      </c>
    </row>
    <row r="129" spans="1:17">
      <c r="A129" t="str">
        <f>'Modeling Data'!A129</f>
        <v>SS Religious Building, Fellowship Hall</v>
      </c>
      <c r="B129" s="134">
        <f>'Modeling Data'!G129</f>
        <v>1</v>
      </c>
      <c r="C129" s="169">
        <f>'Modeling Data'!H129</f>
        <v>0.1</v>
      </c>
      <c r="D129" s="26">
        <f>'Modeling Data'!I129</f>
        <v>0.29844543263937018</v>
      </c>
      <c r="E129" s="135">
        <f>'Modeling Data'!N129</f>
        <v>7</v>
      </c>
      <c r="F129" s="172">
        <f>'Modeling Data'!R129</f>
        <v>8</v>
      </c>
      <c r="G129" s="172">
        <f>'Modeling Data'!S129</f>
        <v>245</v>
      </c>
      <c r="H129" s="172">
        <f>'Modeling Data'!T129</f>
        <v>155</v>
      </c>
      <c r="I129" s="26">
        <f>'Modeling Data'!U129</f>
        <v>0.66</v>
      </c>
      <c r="J129" s="135">
        <f>'Modeling Data'!W129</f>
        <v>60</v>
      </c>
      <c r="K129" s="172">
        <f>'Modeling Data'!X129</f>
        <v>50</v>
      </c>
      <c r="L129" s="26">
        <f>'Modeling Data'!Y129</f>
        <v>2.2831050228310501E-2</v>
      </c>
      <c r="M129" s="26">
        <f>'Modeling Data'!Z129</f>
        <v>6.6210045662100453E-2</v>
      </c>
      <c r="N129" s="32" t="str">
        <f>'Modeling Data'!AA129</f>
        <v xml:space="preserve">Non-Residential </v>
      </c>
      <c r="O129" s="177" t="str">
        <f>'Modeling Data'!AB129</f>
        <v>C-1 Assembly</v>
      </c>
      <c r="P129" s="176">
        <f>'Modeling Data'!AC129</f>
        <v>0</v>
      </c>
      <c r="Q129" s="176" t="str">
        <f>'Modeling Data'!AE129</f>
        <v>Convention center, exercise center, motion picture theature, performing arts theater, religious building, sports arena</v>
      </c>
    </row>
    <row r="130" spans="1:17">
      <c r="A130" t="str">
        <f>'Modeling Data'!A130</f>
        <v>SS Religious Building, Worship/Pulpit/Choir</v>
      </c>
      <c r="B130" s="134">
        <f>'Modeling Data'!G130</f>
        <v>1</v>
      </c>
      <c r="C130" s="169">
        <f>'Modeling Data'!H130</f>
        <v>0.1</v>
      </c>
      <c r="D130" s="26">
        <f>'Modeling Data'!I130</f>
        <v>0.29844543263937018</v>
      </c>
      <c r="E130" s="135">
        <f>'Modeling Data'!N130</f>
        <v>7</v>
      </c>
      <c r="F130" s="172">
        <f>'Modeling Data'!R130</f>
        <v>8</v>
      </c>
      <c r="G130" s="172">
        <f>'Modeling Data'!S130</f>
        <v>245</v>
      </c>
      <c r="H130" s="172">
        <f>'Modeling Data'!T130</f>
        <v>155</v>
      </c>
      <c r="I130" s="26">
        <f>'Modeling Data'!U130</f>
        <v>0.66</v>
      </c>
      <c r="J130" s="135">
        <f>'Modeling Data'!W130</f>
        <v>60</v>
      </c>
      <c r="K130" s="172">
        <f>'Modeling Data'!X130</f>
        <v>50</v>
      </c>
      <c r="L130" s="26">
        <f>'Modeling Data'!Y130</f>
        <v>2.2831050228310501E-2</v>
      </c>
      <c r="M130" s="26">
        <f>'Modeling Data'!Z130</f>
        <v>6.6210045662100453E-2</v>
      </c>
      <c r="N130" s="32" t="str">
        <f>'Modeling Data'!AA130</f>
        <v xml:space="preserve">Non-Residential </v>
      </c>
      <c r="O130" s="177" t="str">
        <f>'Modeling Data'!AB130</f>
        <v>C-1 Assembly</v>
      </c>
      <c r="P130" s="176">
        <f>'Modeling Data'!AC130</f>
        <v>0</v>
      </c>
      <c r="Q130" s="176" t="str">
        <f>'Modeling Data'!AE130</f>
        <v>Convention center, exercise center, motion picture theature, performing arts theater, religious building, sports arena</v>
      </c>
    </row>
    <row r="131" spans="1:17">
      <c r="A131" t="str">
        <f>'Modeling Data'!A131</f>
        <v xml:space="preserve">SS Retail, Dressing/Fitting Room  </v>
      </c>
      <c r="B131" s="134">
        <f>'Modeling Data'!G131</f>
        <v>1</v>
      </c>
      <c r="C131" s="169">
        <f>'Modeling Data'!H131</f>
        <v>0.1</v>
      </c>
      <c r="D131" s="26">
        <f>'Modeling Data'!I131</f>
        <v>0.82156974777792124</v>
      </c>
      <c r="E131" s="135">
        <f>'Modeling Data'!N131</f>
        <v>7</v>
      </c>
      <c r="F131" s="172">
        <f>'Modeling Data'!R131</f>
        <v>67</v>
      </c>
      <c r="G131" s="172">
        <f>'Modeling Data'!S131</f>
        <v>250</v>
      </c>
      <c r="H131" s="172">
        <f>'Modeling Data'!T131</f>
        <v>200</v>
      </c>
      <c r="I131" s="26">
        <f>'Modeling Data'!U131</f>
        <v>0.23</v>
      </c>
      <c r="J131" s="135">
        <f>'Modeling Data'!W131</f>
        <v>120</v>
      </c>
      <c r="K131" s="172">
        <f>'Modeling Data'!X131</f>
        <v>0</v>
      </c>
      <c r="L131" s="26">
        <f>'Modeling Data'!Y131</f>
        <v>0.75342465753424659</v>
      </c>
      <c r="M131" s="26">
        <f>'Modeling Data'!Z131</f>
        <v>9.8173515981735154E-2</v>
      </c>
      <c r="N131" s="32" t="str">
        <f>'Modeling Data'!AA131</f>
        <v xml:space="preserve">Non-Residential </v>
      </c>
      <c r="O131" s="177" t="str">
        <f>'Modeling Data'!AB131</f>
        <v>C-8 Retail</v>
      </c>
      <c r="P131" s="176">
        <f>'Modeling Data'!AC131</f>
        <v>0</v>
      </c>
      <c r="Q131" s="176" t="str">
        <f>'Modeling Data'!AE131</f>
        <v>Library, museum, retail</v>
      </c>
    </row>
    <row r="132" spans="1:17">
      <c r="A132" t="str">
        <f>'Modeling Data'!A132</f>
        <v xml:space="preserve">SS Retail, Mall Concourse  </v>
      </c>
      <c r="B132" s="134">
        <f>'Modeling Data'!G132</f>
        <v>1</v>
      </c>
      <c r="C132" s="169">
        <f>'Modeling Data'!H132</f>
        <v>0.1</v>
      </c>
      <c r="D132" s="26">
        <f>'Modeling Data'!I132</f>
        <v>0</v>
      </c>
      <c r="E132" s="135">
        <f>'Modeling Data'!N132</f>
        <v>7</v>
      </c>
      <c r="F132" s="172">
        <f>'Modeling Data'!R132</f>
        <v>67</v>
      </c>
      <c r="G132" s="172">
        <f>'Modeling Data'!S132</f>
        <v>250</v>
      </c>
      <c r="H132" s="172">
        <f>'Modeling Data'!T132</f>
        <v>200</v>
      </c>
      <c r="I132" s="26">
        <f>'Modeling Data'!U132</f>
        <v>0.23</v>
      </c>
      <c r="J132" s="135">
        <f>'Modeling Data'!W132</f>
        <v>120</v>
      </c>
      <c r="K132" s="172">
        <f>'Modeling Data'!X132</f>
        <v>215</v>
      </c>
      <c r="L132" s="26">
        <f>'Modeling Data'!Y132</f>
        <v>9.1324200913242004E-2</v>
      </c>
      <c r="M132" s="26">
        <f>'Modeling Data'!Z132</f>
        <v>0.11757990867579908</v>
      </c>
      <c r="N132" s="32" t="str">
        <f>'Modeling Data'!AA132</f>
        <v>Retail</v>
      </c>
      <c r="O132" s="177" t="str">
        <f>'Modeling Data'!AB132</f>
        <v>C-8 Retail</v>
      </c>
      <c r="P132" s="176">
        <f>'Modeling Data'!AC132</f>
        <v>0</v>
      </c>
      <c r="Q132" s="176" t="str">
        <f>'Modeling Data'!AE132</f>
        <v>Library, museum, retail</v>
      </c>
    </row>
    <row r="133" spans="1:17">
      <c r="A133" t="str">
        <f>'Modeling Data'!A133</f>
        <v xml:space="preserve">SS Sports Arena Playing Area, Class I </v>
      </c>
      <c r="B133" s="134">
        <f>'Modeling Data'!G133</f>
        <v>1</v>
      </c>
      <c r="C133" s="169">
        <f>'Modeling Data'!H133</f>
        <v>0.1</v>
      </c>
      <c r="D133" s="26">
        <f>'Modeling Data'!I133</f>
        <v>0.67424666522690402</v>
      </c>
      <c r="E133" s="135">
        <f>'Modeling Data'!N133</f>
        <v>7</v>
      </c>
      <c r="F133" s="172">
        <f>'Modeling Data'!R133</f>
        <v>0</v>
      </c>
      <c r="G133" s="172">
        <f>'Modeling Data'!S133</f>
        <v>245</v>
      </c>
      <c r="H133" s="172">
        <f>'Modeling Data'!T133</f>
        <v>105</v>
      </c>
      <c r="I133" s="26">
        <f>'Modeling Data'!U133</f>
        <v>0.3</v>
      </c>
      <c r="J133" s="135">
        <f>'Modeling Data'!W133</f>
        <v>120</v>
      </c>
      <c r="K133" s="172">
        <f>'Modeling Data'!X133</f>
        <v>300</v>
      </c>
      <c r="L133" s="26">
        <f>'Modeling Data'!Y133</f>
        <v>2.2831050228310501E-2</v>
      </c>
      <c r="M133" s="26">
        <f>'Modeling Data'!Z133</f>
        <v>6.6210045662100453E-2</v>
      </c>
      <c r="N133" s="32" t="str">
        <f>'Modeling Data'!AA133</f>
        <v xml:space="preserve">Non-Residential </v>
      </c>
      <c r="O133" s="177" t="str">
        <f>'Modeling Data'!AB133</f>
        <v>C-1 Assembly</v>
      </c>
      <c r="P133" s="176">
        <f>'Modeling Data'!AC133</f>
        <v>0</v>
      </c>
      <c r="Q133" s="176" t="str">
        <f>'Modeling Data'!AE133</f>
        <v>Convention center, exercise center, motion picture theature, performing arts theater, religious building, sports arena</v>
      </c>
    </row>
    <row r="134" spans="1:17">
      <c r="A134" t="str">
        <f>'Modeling Data'!A134</f>
        <v xml:space="preserve">SS Sports Arena Playing Area, Class II </v>
      </c>
      <c r="B134" s="134">
        <f>'Modeling Data'!G134</f>
        <v>1</v>
      </c>
      <c r="C134" s="169">
        <f>'Modeling Data'!H134</f>
        <v>0.1</v>
      </c>
      <c r="D134" s="26">
        <f>'Modeling Data'!I134</f>
        <v>0.67424666522690402</v>
      </c>
      <c r="E134" s="135">
        <f>'Modeling Data'!N134</f>
        <v>7</v>
      </c>
      <c r="F134" s="172">
        <f>'Modeling Data'!R134</f>
        <v>0</v>
      </c>
      <c r="G134" s="172">
        <f>'Modeling Data'!S134</f>
        <v>245</v>
      </c>
      <c r="H134" s="172">
        <f>'Modeling Data'!T134</f>
        <v>105</v>
      </c>
      <c r="I134" s="26">
        <f>'Modeling Data'!U134</f>
        <v>0.3</v>
      </c>
      <c r="J134" s="135">
        <f>'Modeling Data'!W134</f>
        <v>120</v>
      </c>
      <c r="K134" s="172">
        <f>'Modeling Data'!X134</f>
        <v>200</v>
      </c>
      <c r="L134" s="26">
        <f>'Modeling Data'!Y134</f>
        <v>2.2831050228310501E-2</v>
      </c>
      <c r="M134" s="26">
        <f>'Modeling Data'!Z134</f>
        <v>6.6210045662100453E-2</v>
      </c>
      <c r="N134" s="32" t="str">
        <f>'Modeling Data'!AA134</f>
        <v>Retail</v>
      </c>
      <c r="O134" s="177" t="str">
        <f>'Modeling Data'!AB134</f>
        <v>C-1 Assembly</v>
      </c>
      <c r="P134" s="176">
        <f>'Modeling Data'!AC134</f>
        <v>0</v>
      </c>
      <c r="Q134" s="176" t="str">
        <f>'Modeling Data'!AE134</f>
        <v>Convention center, exercise center, motion picture theature, performing arts theater, religious building, sports arena</v>
      </c>
    </row>
    <row r="135" spans="1:17">
      <c r="A135" t="str">
        <f>'Modeling Data'!A135</f>
        <v xml:space="preserve">SS Sports Arena Playing Area, Class III </v>
      </c>
      <c r="B135" s="134">
        <f>'Modeling Data'!G135</f>
        <v>1</v>
      </c>
      <c r="C135" s="169">
        <f>'Modeling Data'!H135</f>
        <v>0.1</v>
      </c>
      <c r="D135" s="26">
        <f>'Modeling Data'!I135</f>
        <v>0.67424666522690402</v>
      </c>
      <c r="E135" s="135">
        <f>'Modeling Data'!N135</f>
        <v>7</v>
      </c>
      <c r="F135" s="172">
        <f>'Modeling Data'!R135</f>
        <v>0</v>
      </c>
      <c r="G135" s="172">
        <f>'Modeling Data'!S135</f>
        <v>245</v>
      </c>
      <c r="H135" s="172">
        <f>'Modeling Data'!T135</f>
        <v>105</v>
      </c>
      <c r="I135" s="26">
        <f>'Modeling Data'!U135</f>
        <v>0.3</v>
      </c>
      <c r="J135" s="135">
        <f>'Modeling Data'!W135</f>
        <v>120</v>
      </c>
      <c r="K135" s="172">
        <f>'Modeling Data'!X135</f>
        <v>200</v>
      </c>
      <c r="L135" s="26">
        <f>'Modeling Data'!Y135</f>
        <v>2.2831050228310501E-2</v>
      </c>
      <c r="M135" s="26">
        <f>'Modeling Data'!Z135</f>
        <v>6.6210045662100453E-2</v>
      </c>
      <c r="N135" s="32" t="str">
        <f>'Modeling Data'!AA135</f>
        <v>Retail</v>
      </c>
      <c r="O135" s="177" t="str">
        <f>'Modeling Data'!AB135</f>
        <v>C-1 Assembly</v>
      </c>
      <c r="P135" s="176">
        <f>'Modeling Data'!AC135</f>
        <v>0</v>
      </c>
      <c r="Q135" s="176" t="str">
        <f>'Modeling Data'!AE135</f>
        <v>Convention center, exercise center, motion picture theature, performing arts theater, religious building, sports arena</v>
      </c>
    </row>
    <row r="136" spans="1:17">
      <c r="A136" t="str">
        <f>'Modeling Data'!A136</f>
        <v>SS Sports Arena Playing Area, Class IV</v>
      </c>
      <c r="B136" s="134">
        <f>'Modeling Data'!G136</f>
        <v>1</v>
      </c>
      <c r="C136" s="169">
        <f>'Modeling Data'!H136</f>
        <v>0.1</v>
      </c>
      <c r="D136" s="26">
        <f>'Modeling Data'!I136</f>
        <v>0.67424666522690402</v>
      </c>
      <c r="E136" s="135">
        <f>'Modeling Data'!N136</f>
        <v>7</v>
      </c>
      <c r="F136" s="172">
        <f>'Modeling Data'!R136</f>
        <v>0</v>
      </c>
      <c r="G136" s="172">
        <f>'Modeling Data'!S136</f>
        <v>245</v>
      </c>
      <c r="H136" s="172">
        <f>'Modeling Data'!T136</f>
        <v>105</v>
      </c>
      <c r="I136" s="26">
        <f>'Modeling Data'!U136</f>
        <v>0.3</v>
      </c>
      <c r="J136" s="135">
        <f>'Modeling Data'!W136</f>
        <v>120</v>
      </c>
      <c r="K136" s="172">
        <f>'Modeling Data'!X136</f>
        <v>200</v>
      </c>
      <c r="L136" s="26">
        <f>'Modeling Data'!Y136</f>
        <v>2.2831050228310501E-2</v>
      </c>
      <c r="M136" s="26">
        <f>'Modeling Data'!Z136</f>
        <v>6.6210045662100453E-2</v>
      </c>
      <c r="N136" s="32" t="str">
        <f>'Modeling Data'!AA136</f>
        <v>Retail</v>
      </c>
      <c r="O136" s="177" t="str">
        <f>'Modeling Data'!AB136</f>
        <v>C-1 Assembly</v>
      </c>
      <c r="P136" s="176">
        <f>'Modeling Data'!AC136</f>
        <v>0</v>
      </c>
      <c r="Q136" s="176" t="str">
        <f>'Modeling Data'!AE136</f>
        <v>Convention center, exercise center, motion picture theature, performing arts theater, religious building, sports arena</v>
      </c>
    </row>
    <row r="137" spans="1:17">
      <c r="A137" t="str">
        <f>'Modeling Data'!A137</f>
        <v xml:space="preserve">SS Transportation, Baggage/Carousel Area  </v>
      </c>
      <c r="B137" s="134">
        <f>'Modeling Data'!G137</f>
        <v>1</v>
      </c>
      <c r="C137" s="169">
        <f>'Modeling Data'!H137</f>
        <v>0.1</v>
      </c>
      <c r="D137" s="26">
        <f>'Modeling Data'!I137</f>
        <v>0.76224769399973591</v>
      </c>
      <c r="E137" s="135">
        <f>'Modeling Data'!N137</f>
        <v>7</v>
      </c>
      <c r="F137" s="172">
        <f>'Modeling Data'!R137</f>
        <v>10</v>
      </c>
      <c r="G137" s="172">
        <f>'Modeling Data'!S137</f>
        <v>225</v>
      </c>
      <c r="H137" s="172">
        <f>'Modeling Data'!T137</f>
        <v>105</v>
      </c>
      <c r="I137" s="26">
        <f>'Modeling Data'!U137</f>
        <v>0.81</v>
      </c>
      <c r="J137" s="135">
        <f>'Modeling Data'!W137</f>
        <v>120</v>
      </c>
      <c r="K137" s="172">
        <f>'Modeling Data'!X137</f>
        <v>215</v>
      </c>
      <c r="L137" s="26">
        <f>'Modeling Data'!Y137</f>
        <v>2.2831050228310501E-2</v>
      </c>
      <c r="M137" s="26">
        <f>'Modeling Data'!Z137</f>
        <v>6.6210045662100453E-2</v>
      </c>
      <c r="N137" s="32" t="str">
        <f>'Modeling Data'!AA137</f>
        <v>Retail</v>
      </c>
      <c r="O137" s="177" t="str">
        <f>'Modeling Data'!AB137</f>
        <v>C-2 Public</v>
      </c>
      <c r="P137" s="176">
        <f>'Modeling Data'!AC137</f>
        <v>0</v>
      </c>
      <c r="Q137" s="176" t="str">
        <f>'Modeling Data'!AE137</f>
        <v>Fire station, clinic, hospital, police station, transportation</v>
      </c>
    </row>
    <row r="138" spans="1:17">
      <c r="A138" t="str">
        <f>'Modeling Data'!A138</f>
        <v>SS Transportation, Concourse</v>
      </c>
      <c r="B138" s="134">
        <f>'Modeling Data'!G138</f>
        <v>1</v>
      </c>
      <c r="C138" s="169">
        <f>'Modeling Data'!H138</f>
        <v>0.1</v>
      </c>
      <c r="D138" s="26">
        <f>'Modeling Data'!I138</f>
        <v>0.76224769399973591</v>
      </c>
      <c r="E138" s="135">
        <f>'Modeling Data'!N138</f>
        <v>7</v>
      </c>
      <c r="F138" s="172">
        <f>'Modeling Data'!R138</f>
        <v>10</v>
      </c>
      <c r="G138" s="172">
        <f>'Modeling Data'!S138</f>
        <v>225</v>
      </c>
      <c r="H138" s="172">
        <f>'Modeling Data'!T138</f>
        <v>105</v>
      </c>
      <c r="I138" s="26">
        <f>'Modeling Data'!U138</f>
        <v>0.81</v>
      </c>
      <c r="J138" s="135">
        <f>'Modeling Data'!W138</f>
        <v>120</v>
      </c>
      <c r="K138" s="172">
        <f>'Modeling Data'!X138</f>
        <v>215</v>
      </c>
      <c r="L138" s="26">
        <f>'Modeling Data'!Y138</f>
        <v>2.2831050228310501E-2</v>
      </c>
      <c r="M138" s="26">
        <f>'Modeling Data'!Z138</f>
        <v>6.6210045662100453E-2</v>
      </c>
      <c r="N138" s="32" t="str">
        <f>'Modeling Data'!AA138</f>
        <v xml:space="preserve">Non-Residential </v>
      </c>
      <c r="O138" s="177" t="str">
        <f>'Modeling Data'!AB138</f>
        <v>C-2 Public</v>
      </c>
      <c r="P138" s="176">
        <f>'Modeling Data'!AC138</f>
        <v>0</v>
      </c>
      <c r="Q138" s="176" t="str">
        <f>'Modeling Data'!AE138</f>
        <v>Fire station, clinic, hospital, police station, transportation</v>
      </c>
    </row>
    <row r="139" spans="1:17">
      <c r="A139" t="str">
        <f>'Modeling Data'!A139</f>
        <v>SS Transportation, Ticket Counter</v>
      </c>
      <c r="B139" s="134">
        <f>'Modeling Data'!G139</f>
        <v>1</v>
      </c>
      <c r="C139" s="169">
        <f>'Modeling Data'!H139</f>
        <v>0.1</v>
      </c>
      <c r="D139" s="26">
        <f>'Modeling Data'!I139</f>
        <v>0.76224769399973591</v>
      </c>
      <c r="E139" s="135">
        <f>'Modeling Data'!N139</f>
        <v>7</v>
      </c>
      <c r="F139" s="172">
        <f>'Modeling Data'!R139</f>
        <v>10</v>
      </c>
      <c r="G139" s="172">
        <f>'Modeling Data'!S139</f>
        <v>225</v>
      </c>
      <c r="H139" s="172">
        <f>'Modeling Data'!T139</f>
        <v>105</v>
      </c>
      <c r="I139" s="26">
        <f>'Modeling Data'!U139</f>
        <v>0.81</v>
      </c>
      <c r="J139" s="135">
        <f>'Modeling Data'!W139</f>
        <v>120</v>
      </c>
      <c r="K139" s="172">
        <f>'Modeling Data'!X139</f>
        <v>215</v>
      </c>
      <c r="L139" s="26">
        <f>'Modeling Data'!Y139</f>
        <v>2.2831050228310501E-2</v>
      </c>
      <c r="M139" s="26">
        <f>'Modeling Data'!Z139</f>
        <v>6.6210045662100453E-2</v>
      </c>
      <c r="N139" s="32" t="str">
        <f>'Modeling Data'!AA139</f>
        <v xml:space="preserve">Non-Residential </v>
      </c>
      <c r="O139" s="177" t="str">
        <f>'Modeling Data'!AB139</f>
        <v>C-2 Public</v>
      </c>
      <c r="P139" s="176">
        <f>'Modeling Data'!AC139</f>
        <v>0</v>
      </c>
      <c r="Q139" s="176" t="str">
        <f>'Modeling Data'!AE139</f>
        <v>Fire station, clinic, hospital, police station, transportation</v>
      </c>
    </row>
    <row r="140" spans="1:17">
      <c r="A140" t="str">
        <f>'Modeling Data'!A140</f>
        <v>SS Warehouse, Medium/Bulky Items on Pallets</v>
      </c>
      <c r="B140" s="134">
        <f>'Modeling Data'!G140</f>
        <v>1</v>
      </c>
      <c r="C140" s="169">
        <f>'Modeling Data'!H140</f>
        <v>0.15</v>
      </c>
      <c r="D140" s="26">
        <f>'Modeling Data'!I140</f>
        <v>0.31394912262618863</v>
      </c>
      <c r="E140" s="135">
        <f>'Modeling Data'!N140</f>
        <v>7</v>
      </c>
      <c r="F140" s="172">
        <f>'Modeling Data'!R140</f>
        <v>0</v>
      </c>
      <c r="G140" s="172">
        <f>'Modeling Data'!S140</f>
        <v>275</v>
      </c>
      <c r="H140" s="172">
        <f>'Modeling Data'!T140</f>
        <v>475</v>
      </c>
      <c r="I140" s="26">
        <f>'Modeling Data'!U140</f>
        <v>0.06</v>
      </c>
      <c r="J140" s="135">
        <f>'Modeling Data'!W140</f>
        <v>120</v>
      </c>
      <c r="K140" s="172">
        <f>'Modeling Data'!X140</f>
        <v>225</v>
      </c>
      <c r="L140" s="26">
        <f>'Modeling Data'!Y140</f>
        <v>0</v>
      </c>
      <c r="M140" s="26">
        <f>'Modeling Data'!Z140</f>
        <v>3.1963470319634701E-2</v>
      </c>
      <c r="N140" s="32" t="str">
        <f>'Modeling Data'!AA140</f>
        <v xml:space="preserve">Non-Residential </v>
      </c>
      <c r="O140" s="177" t="str">
        <f>'Modeling Data'!AB140</f>
        <v>C-10 Warehouse</v>
      </c>
      <c r="P140" s="176">
        <f>'Modeling Data'!AC140</f>
        <v>0</v>
      </c>
      <c r="Q140" s="176" t="str">
        <f>'Modeling Data'!AE140</f>
        <v>Warehouse</v>
      </c>
    </row>
    <row r="141" spans="1:17">
      <c r="A141" t="str">
        <f>'Modeling Data'!A141</f>
        <v>SS Warehouse, Smaller Hand Carried Items</v>
      </c>
      <c r="B141" s="134">
        <f>'Modeling Data'!G141</f>
        <v>1</v>
      </c>
      <c r="C141" s="169">
        <f>'Modeling Data'!H141</f>
        <v>0.15</v>
      </c>
      <c r="D141" s="26">
        <f>'Modeling Data'!I141</f>
        <v>0.31394912262618863</v>
      </c>
      <c r="E141" s="135">
        <f>'Modeling Data'!N141</f>
        <v>7</v>
      </c>
      <c r="F141" s="172">
        <f>'Modeling Data'!R141</f>
        <v>0</v>
      </c>
      <c r="G141" s="172">
        <f>'Modeling Data'!S141</f>
        <v>275</v>
      </c>
      <c r="H141" s="172">
        <f>'Modeling Data'!T141</f>
        <v>475</v>
      </c>
      <c r="I141" s="26">
        <f>'Modeling Data'!U141</f>
        <v>0.06</v>
      </c>
      <c r="J141" s="135">
        <f>'Modeling Data'!W141</f>
        <v>120</v>
      </c>
      <c r="K141" s="172">
        <f>'Modeling Data'!X141</f>
        <v>225</v>
      </c>
      <c r="L141" s="26">
        <f>'Modeling Data'!Y141</f>
        <v>0</v>
      </c>
      <c r="M141" s="26">
        <f>'Modeling Data'!Z141</f>
        <v>3.1963470319634701E-2</v>
      </c>
      <c r="N141" s="32" t="str">
        <f>'Modeling Data'!AA141</f>
        <v xml:space="preserve">Non-Residential </v>
      </c>
      <c r="O141" s="177" t="str">
        <f>'Modeling Data'!AB141</f>
        <v>C-10 Warehouse</v>
      </c>
      <c r="P141" s="176">
        <f>'Modeling Data'!AC141</f>
        <v>0</v>
      </c>
      <c r="Q141" s="176" t="str">
        <f>'Modeling Data'!AE141</f>
        <v>Warehouse</v>
      </c>
    </row>
    <row r="143" spans="1:17">
      <c r="A143" t="s">
        <v>372</v>
      </c>
      <c r="O143" s="206"/>
    </row>
  </sheetData>
  <sheetProtection password="A9BB" sheet="1" objects="1" scenarios="1"/>
  <mergeCells count="8">
    <mergeCell ref="C1:C2"/>
    <mergeCell ref="F1:H1"/>
    <mergeCell ref="I1:I2"/>
    <mergeCell ref="L1:M1"/>
    <mergeCell ref="N1:P1"/>
    <mergeCell ref="F2:H2"/>
    <mergeCell ref="L2:L3"/>
    <mergeCell ref="M2:M3"/>
  </mergeCells>
  <pageMargins left="0.25" right="0.25" top="0.75" bottom="0.75" header="0.3" footer="0.3"/>
  <pageSetup scale="61" fitToHeight="0"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G88"/>
  <sheetViews>
    <sheetView workbookViewId="0">
      <selection activeCell="C6" sqref="C6"/>
    </sheetView>
  </sheetViews>
  <sheetFormatPr defaultRowHeight="12.75"/>
  <cols>
    <col min="1" max="1" width="9.140625" style="2"/>
    <col min="2" max="2" width="13.7109375" style="86" customWidth="1"/>
    <col min="3" max="3" width="42.140625" customWidth="1"/>
    <col min="4" max="4" width="39.7109375" customWidth="1"/>
    <col min="7" max="7" width="27.28515625" customWidth="1"/>
  </cols>
  <sheetData>
    <row r="1" spans="1:2" ht="15.75">
      <c r="A1" s="138" t="s">
        <v>373</v>
      </c>
    </row>
    <row r="2" spans="1:2">
      <c r="B2" s="142">
        <v>42575</v>
      </c>
    </row>
    <row r="4" spans="1:2">
      <c r="A4" s="2">
        <v>1</v>
      </c>
      <c r="B4" s="54" t="s">
        <v>374</v>
      </c>
    </row>
    <row r="5" spans="1:2">
      <c r="B5" s="86" t="s">
        <v>375</v>
      </c>
    </row>
    <row r="6" spans="1:2">
      <c r="B6" s="54" t="s">
        <v>376</v>
      </c>
    </row>
    <row r="8" spans="1:2">
      <c r="A8" s="2">
        <v>2</v>
      </c>
      <c r="B8" s="54" t="s">
        <v>377</v>
      </c>
    </row>
    <row r="9" spans="1:2">
      <c r="B9" s="86" t="s">
        <v>378</v>
      </c>
    </row>
    <row r="11" spans="1:2">
      <c r="A11" s="2">
        <v>3</v>
      </c>
      <c r="B11" s="54" t="s">
        <v>379</v>
      </c>
    </row>
    <row r="13" spans="1:2">
      <c r="A13" s="2">
        <v>4</v>
      </c>
      <c r="B13" s="54" t="s">
        <v>380</v>
      </c>
    </row>
    <row r="15" spans="1:2">
      <c r="A15" s="2">
        <v>5</v>
      </c>
      <c r="B15" s="54" t="s">
        <v>381</v>
      </c>
    </row>
    <row r="16" spans="1:2">
      <c r="B16" s="86" t="s">
        <v>382</v>
      </c>
    </row>
    <row r="17" spans="1:7" ht="13.5" customHeight="1"/>
    <row r="18" spans="1:7">
      <c r="A18" s="2">
        <v>6</v>
      </c>
      <c r="B18" s="54" t="s">
        <v>383</v>
      </c>
    </row>
    <row r="20" spans="1:7">
      <c r="A20" s="2">
        <v>7</v>
      </c>
      <c r="B20" s="54" t="s">
        <v>384</v>
      </c>
      <c r="E20" s="2"/>
    </row>
    <row r="21" spans="1:7">
      <c r="B21" s="54" t="s">
        <v>385</v>
      </c>
      <c r="E21" s="2"/>
      <c r="F21" s="56"/>
    </row>
    <row r="22" spans="1:7">
      <c r="B22" s="54" t="s">
        <v>386</v>
      </c>
      <c r="E22" s="2"/>
      <c r="F22" s="56"/>
    </row>
    <row r="23" spans="1:7">
      <c r="B23" s="54"/>
      <c r="E23" s="2"/>
      <c r="F23" s="56" t="s">
        <v>387</v>
      </c>
    </row>
    <row r="24" spans="1:7">
      <c r="F24" s="56" t="s">
        <v>388</v>
      </c>
    </row>
    <row r="25" spans="1:7" s="27" customFormat="1">
      <c r="A25" s="56"/>
      <c r="B25" s="131" t="s">
        <v>389</v>
      </c>
      <c r="C25" s="79" t="s">
        <v>390</v>
      </c>
      <c r="D25" s="79" t="s">
        <v>391</v>
      </c>
      <c r="E25" s="80" t="s">
        <v>392</v>
      </c>
      <c r="F25" s="80" t="s">
        <v>393</v>
      </c>
      <c r="G25" s="79" t="s">
        <v>394</v>
      </c>
    </row>
    <row r="26" spans="1:7">
      <c r="B26" s="127" t="s">
        <v>395</v>
      </c>
      <c r="C26" s="27" t="s">
        <v>396</v>
      </c>
      <c r="D26" t="s">
        <v>397</v>
      </c>
      <c r="G26" s="27" t="s">
        <v>398</v>
      </c>
    </row>
    <row r="27" spans="1:7">
      <c r="B27" s="54" t="s">
        <v>399</v>
      </c>
      <c r="C27" s="27" t="s">
        <v>400</v>
      </c>
      <c r="D27" s="27" t="s">
        <v>401</v>
      </c>
      <c r="G27" s="27" t="s">
        <v>402</v>
      </c>
    </row>
    <row r="28" spans="1:7">
      <c r="B28" s="54" t="s">
        <v>403</v>
      </c>
      <c r="C28" s="27" t="s">
        <v>18</v>
      </c>
      <c r="D28" s="27" t="s">
        <v>404</v>
      </c>
    </row>
    <row r="29" spans="1:7">
      <c r="B29" s="54" t="s">
        <v>405</v>
      </c>
      <c r="C29" s="27" t="s">
        <v>19</v>
      </c>
      <c r="D29" s="27" t="s">
        <v>406</v>
      </c>
    </row>
    <row r="30" spans="1:7">
      <c r="B30" s="127" t="s">
        <v>407</v>
      </c>
      <c r="C30" s="27" t="s">
        <v>408</v>
      </c>
      <c r="D30" s="27" t="s">
        <v>409</v>
      </c>
      <c r="E30" s="229" t="s">
        <v>410</v>
      </c>
      <c r="F30" s="229" t="s">
        <v>410</v>
      </c>
      <c r="G30" s="27" t="s">
        <v>411</v>
      </c>
    </row>
    <row r="31" spans="1:7">
      <c r="B31" s="54" t="s">
        <v>412</v>
      </c>
      <c r="C31" s="27" t="s">
        <v>413</v>
      </c>
      <c r="D31" s="27" t="s">
        <v>414</v>
      </c>
      <c r="E31" s="229" t="s">
        <v>410</v>
      </c>
      <c r="F31" s="229" t="s">
        <v>410</v>
      </c>
    </row>
    <row r="32" spans="1:7">
      <c r="B32" s="54" t="s">
        <v>415</v>
      </c>
      <c r="C32" s="27" t="s">
        <v>416</v>
      </c>
      <c r="D32" s="27" t="s">
        <v>417</v>
      </c>
      <c r="E32" s="229" t="s">
        <v>410</v>
      </c>
      <c r="F32" s="229" t="s">
        <v>410</v>
      </c>
    </row>
    <row r="33" spans="1:7">
      <c r="B33" s="54" t="s">
        <v>418</v>
      </c>
      <c r="C33" s="27" t="s">
        <v>419</v>
      </c>
      <c r="D33" s="27" t="s">
        <v>420</v>
      </c>
      <c r="E33" s="229" t="s">
        <v>410</v>
      </c>
      <c r="F33" s="229" t="s">
        <v>410</v>
      </c>
    </row>
    <row r="34" spans="1:7">
      <c r="B34" s="54" t="s">
        <v>421</v>
      </c>
      <c r="C34" s="27" t="s">
        <v>422</v>
      </c>
      <c r="D34" s="27" t="s">
        <v>423</v>
      </c>
      <c r="E34" s="229" t="s">
        <v>410</v>
      </c>
      <c r="F34" s="229" t="s">
        <v>410</v>
      </c>
      <c r="G34" s="27" t="s">
        <v>424</v>
      </c>
    </row>
    <row r="38" spans="1:7" ht="15.75">
      <c r="A38" s="138" t="s">
        <v>425</v>
      </c>
    </row>
    <row r="39" spans="1:7" ht="15.75">
      <c r="A39" s="138"/>
      <c r="B39" s="142">
        <v>42243</v>
      </c>
    </row>
    <row r="40" spans="1:7" ht="15.75">
      <c r="A40" s="138"/>
      <c r="B40" s="142"/>
    </row>
    <row r="41" spans="1:7">
      <c r="A41" s="2">
        <v>1</v>
      </c>
      <c r="B41" s="54" t="s">
        <v>426</v>
      </c>
    </row>
    <row r="42" spans="1:7">
      <c r="B42" s="86" t="s">
        <v>427</v>
      </c>
    </row>
    <row r="43" spans="1:7">
      <c r="B43" s="86" t="s">
        <v>428</v>
      </c>
    </row>
    <row r="44" spans="1:7">
      <c r="B44" s="54" t="s">
        <v>429</v>
      </c>
    </row>
    <row r="45" spans="1:7">
      <c r="B45" s="54"/>
    </row>
    <row r="46" spans="1:7">
      <c r="A46" s="2">
        <v>2</v>
      </c>
      <c r="B46" s="54" t="s">
        <v>430</v>
      </c>
    </row>
    <row r="47" spans="1:7">
      <c r="B47" s="54"/>
    </row>
    <row r="48" spans="1:7">
      <c r="A48" s="2">
        <v>3</v>
      </c>
      <c r="B48" s="54" t="s">
        <v>431</v>
      </c>
    </row>
    <row r="49" spans="1:2">
      <c r="B49" s="54" t="s">
        <v>432</v>
      </c>
    </row>
    <row r="51" spans="1:2">
      <c r="A51" s="2">
        <v>4</v>
      </c>
      <c r="B51" s="54" t="s">
        <v>433</v>
      </c>
    </row>
    <row r="52" spans="1:2">
      <c r="B52" s="54"/>
    </row>
    <row r="53" spans="1:2">
      <c r="B53"/>
    </row>
    <row r="54" spans="1:2" ht="15.75">
      <c r="A54" s="138" t="s">
        <v>434</v>
      </c>
    </row>
    <row r="55" spans="1:2" ht="15.75">
      <c r="A55" s="138"/>
      <c r="B55" s="142">
        <v>41816</v>
      </c>
    </row>
    <row r="56" spans="1:2" ht="15.75">
      <c r="A56" s="138"/>
      <c r="B56" s="142"/>
    </row>
    <row r="57" spans="1:2">
      <c r="B57" s="54" t="s">
        <v>435</v>
      </c>
    </row>
    <row r="58" spans="1:2">
      <c r="B58" s="86" t="s">
        <v>436</v>
      </c>
    </row>
    <row r="59" spans="1:2">
      <c r="B59" s="54" t="s">
        <v>437</v>
      </c>
    </row>
    <row r="60" spans="1:2">
      <c r="B60" s="54" t="s">
        <v>438</v>
      </c>
    </row>
    <row r="61" spans="1:2">
      <c r="B61" s="86" t="s">
        <v>439</v>
      </c>
    </row>
    <row r="64" spans="1:2" ht="15.75">
      <c r="A64" s="138" t="s">
        <v>440</v>
      </c>
    </row>
    <row r="66" spans="1:4">
      <c r="A66" s="2">
        <v>1</v>
      </c>
      <c r="B66" s="54" t="s">
        <v>441</v>
      </c>
    </row>
    <row r="67" spans="1:4">
      <c r="B67" s="54" t="s">
        <v>442</v>
      </c>
    </row>
    <row r="69" spans="1:4" s="27" customFormat="1">
      <c r="A69" s="56"/>
      <c r="B69" s="131" t="s">
        <v>389</v>
      </c>
      <c r="C69" s="79" t="s">
        <v>443</v>
      </c>
      <c r="D69" s="79" t="s">
        <v>391</v>
      </c>
    </row>
    <row r="70" spans="1:4">
      <c r="B70" s="54" t="s">
        <v>405</v>
      </c>
      <c r="C70" s="27" t="s">
        <v>19</v>
      </c>
      <c r="D70" s="27" t="s">
        <v>406</v>
      </c>
    </row>
    <row r="71" spans="1:4">
      <c r="B71" s="54" t="s">
        <v>403</v>
      </c>
      <c r="C71" s="27" t="s">
        <v>18</v>
      </c>
      <c r="D71" s="27" t="s">
        <v>404</v>
      </c>
    </row>
    <row r="72" spans="1:4">
      <c r="B72" s="54" t="s">
        <v>399</v>
      </c>
      <c r="C72" s="27" t="s">
        <v>400</v>
      </c>
      <c r="D72" s="27" t="s">
        <v>401</v>
      </c>
    </row>
    <row r="73" spans="1:4">
      <c r="B73" s="54" t="s">
        <v>444</v>
      </c>
      <c r="C73" s="27" t="s">
        <v>413</v>
      </c>
      <c r="D73" s="27" t="s">
        <v>414</v>
      </c>
    </row>
    <row r="74" spans="1:4">
      <c r="B74" s="54" t="s">
        <v>421</v>
      </c>
      <c r="C74" s="27" t="s">
        <v>422</v>
      </c>
      <c r="D74" s="27" t="s">
        <v>423</v>
      </c>
    </row>
    <row r="75" spans="1:4">
      <c r="B75" s="54" t="s">
        <v>445</v>
      </c>
      <c r="C75" s="27" t="s">
        <v>416</v>
      </c>
      <c r="D75" s="27" t="s">
        <v>417</v>
      </c>
    </row>
    <row r="76" spans="1:4">
      <c r="B76" s="54" t="s">
        <v>418</v>
      </c>
      <c r="C76" s="27" t="s">
        <v>419</v>
      </c>
      <c r="D76" s="27" t="s">
        <v>420</v>
      </c>
    </row>
    <row r="78" spans="1:4">
      <c r="A78" s="2">
        <v>2</v>
      </c>
      <c r="B78" s="54" t="s">
        <v>446</v>
      </c>
    </row>
    <row r="79" spans="1:4">
      <c r="B79" s="86" t="s">
        <v>447</v>
      </c>
    </row>
    <row r="81" spans="1:2">
      <c r="A81" s="2">
        <v>3</v>
      </c>
      <c r="B81" s="54" t="s">
        <v>448</v>
      </c>
    </row>
    <row r="82" spans="1:2">
      <c r="B82" s="54" t="s">
        <v>449</v>
      </c>
    </row>
    <row r="83" spans="1:2">
      <c r="B83" s="54" t="s">
        <v>450</v>
      </c>
    </row>
    <row r="85" spans="1:2">
      <c r="A85" s="2">
        <v>4</v>
      </c>
      <c r="B85" s="54" t="s">
        <v>451</v>
      </c>
    </row>
    <row r="86" spans="1:2">
      <c r="B86" s="54" t="s">
        <v>452</v>
      </c>
    </row>
    <row r="88" spans="1:2">
      <c r="B88" s="54"/>
    </row>
  </sheetData>
  <sheetProtection password="A9BB" sheet="1" objects="1" scenarios="1"/>
  <sortState xmlns:xlrd2="http://schemas.microsoft.com/office/spreadsheetml/2017/richdata2" ref="A87:G95">
    <sortCondition ref="A87:A95"/>
  </sortState>
  <phoneticPr fontId="2" type="noConversion"/>
  <pageMargins left="0.25" right="0.25" top="0.75" bottom="0.75" header="0.3" footer="0.3"/>
  <pageSetup scale="5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dimension ref="A1:J152"/>
  <sheetViews>
    <sheetView topLeftCell="A25" zoomScaleNormal="100" workbookViewId="0">
      <pane xSplit="1" topLeftCell="F1" activePane="topRight" state="frozen"/>
      <selection pane="topRight" activeCell="A49" sqref="A49:XFD49"/>
      <selection activeCell="A4" sqref="A4"/>
    </sheetView>
  </sheetViews>
  <sheetFormatPr defaultRowHeight="12.75"/>
  <cols>
    <col min="1" max="1" width="50.42578125" customWidth="1"/>
    <col min="2" max="2" width="24.7109375" customWidth="1"/>
    <col min="3" max="5" width="24.28515625" customWidth="1"/>
    <col min="6" max="6" width="32.28515625" customWidth="1"/>
    <col min="7" max="7" width="25.140625" customWidth="1"/>
    <col min="8" max="8" width="27" customWidth="1"/>
    <col min="9" max="9" width="30.28515625" customWidth="1"/>
    <col min="10" max="10" width="24.28515625" customWidth="1"/>
    <col min="11" max="11" width="19.42578125" customWidth="1"/>
  </cols>
  <sheetData>
    <row r="1" spans="1:10" ht="12.75" customHeight="1"/>
    <row r="2" spans="1:10">
      <c r="B2" s="1"/>
    </row>
    <row r="3" spans="1:10">
      <c r="B3" s="1"/>
    </row>
    <row r="4" spans="1:10" s="17" customFormat="1">
      <c r="A4" s="17" t="s">
        <v>453</v>
      </c>
      <c r="B4" s="17" t="s">
        <v>454</v>
      </c>
      <c r="C4" s="21" t="s">
        <v>455</v>
      </c>
      <c r="D4" s="21" t="s">
        <v>456</v>
      </c>
      <c r="E4" s="21" t="s">
        <v>457</v>
      </c>
      <c r="F4" s="21" t="s">
        <v>458</v>
      </c>
      <c r="G4" s="21" t="s">
        <v>459</v>
      </c>
      <c r="H4" s="21" t="s">
        <v>460</v>
      </c>
      <c r="I4" s="21" t="s">
        <v>461</v>
      </c>
      <c r="J4" s="21" t="s">
        <v>462</v>
      </c>
    </row>
    <row r="5" spans="1:10">
      <c r="A5" t="s">
        <v>220</v>
      </c>
      <c r="B5" s="27" t="s">
        <v>220</v>
      </c>
      <c r="C5" t="s">
        <v>220</v>
      </c>
      <c r="D5" t="s">
        <v>463</v>
      </c>
      <c r="E5" t="s">
        <v>220</v>
      </c>
      <c r="F5" t="s">
        <v>464</v>
      </c>
      <c r="G5" t="s">
        <v>465</v>
      </c>
      <c r="H5" t="s">
        <v>466</v>
      </c>
      <c r="I5" t="s">
        <v>467</v>
      </c>
      <c r="J5" t="s">
        <v>468</v>
      </c>
    </row>
    <row r="6" spans="1:10">
      <c r="A6" t="s">
        <v>222</v>
      </c>
      <c r="B6" t="s">
        <v>222</v>
      </c>
      <c r="C6" t="s">
        <v>222</v>
      </c>
      <c r="D6" t="s">
        <v>469</v>
      </c>
      <c r="E6" t="s">
        <v>222</v>
      </c>
      <c r="F6" t="s">
        <v>37</v>
      </c>
      <c r="G6" t="s">
        <v>470</v>
      </c>
      <c r="H6" t="s">
        <v>471</v>
      </c>
      <c r="I6" t="s">
        <v>472</v>
      </c>
      <c r="J6" t="s">
        <v>473</v>
      </c>
    </row>
    <row r="7" spans="1:10">
      <c r="A7" t="s">
        <v>224</v>
      </c>
      <c r="B7" t="s">
        <v>224</v>
      </c>
      <c r="C7" s="27" t="s">
        <v>224</v>
      </c>
      <c r="D7" t="s">
        <v>224</v>
      </c>
      <c r="E7" t="s">
        <v>474</v>
      </c>
      <c r="F7" t="s">
        <v>475</v>
      </c>
      <c r="G7" t="s">
        <v>476</v>
      </c>
      <c r="H7" t="s">
        <v>477</v>
      </c>
      <c r="I7" t="s">
        <v>478</v>
      </c>
      <c r="J7" t="s">
        <v>473</v>
      </c>
    </row>
    <row r="8" spans="1:10">
      <c r="A8" t="s">
        <v>226</v>
      </c>
      <c r="B8" t="s">
        <v>226</v>
      </c>
      <c r="C8" t="s">
        <v>226</v>
      </c>
      <c r="D8" t="s">
        <v>479</v>
      </c>
      <c r="E8" t="s">
        <v>226</v>
      </c>
      <c r="F8" t="s">
        <v>480</v>
      </c>
      <c r="G8" t="s">
        <v>481</v>
      </c>
      <c r="H8" t="s">
        <v>482</v>
      </c>
      <c r="I8" t="s">
        <v>483</v>
      </c>
      <c r="J8" t="s">
        <v>484</v>
      </c>
    </row>
    <row r="9" spans="1:10">
      <c r="A9" t="s">
        <v>228</v>
      </c>
      <c r="B9" t="s">
        <v>228</v>
      </c>
      <c r="C9" t="s">
        <v>228</v>
      </c>
      <c r="D9" t="s">
        <v>485</v>
      </c>
      <c r="E9" t="s">
        <v>228</v>
      </c>
      <c r="F9" t="s">
        <v>486</v>
      </c>
      <c r="G9" t="s">
        <v>487</v>
      </c>
      <c r="H9" t="s">
        <v>482</v>
      </c>
      <c r="I9" t="s">
        <v>483</v>
      </c>
      <c r="J9" t="s">
        <v>484</v>
      </c>
    </row>
    <row r="10" spans="1:10">
      <c r="A10" t="s">
        <v>229</v>
      </c>
      <c r="B10" t="s">
        <v>229</v>
      </c>
      <c r="C10" t="s">
        <v>229</v>
      </c>
      <c r="D10" t="s">
        <v>488</v>
      </c>
      <c r="E10" t="s">
        <v>229</v>
      </c>
      <c r="F10" t="s">
        <v>489</v>
      </c>
      <c r="G10" t="s">
        <v>490</v>
      </c>
      <c r="H10" t="s">
        <v>482</v>
      </c>
      <c r="I10" t="s">
        <v>483</v>
      </c>
      <c r="J10" t="s">
        <v>484</v>
      </c>
    </row>
    <row r="11" spans="1:10">
      <c r="A11" t="s">
        <v>230</v>
      </c>
      <c r="B11" t="s">
        <v>230</v>
      </c>
      <c r="C11" t="s">
        <v>230</v>
      </c>
      <c r="D11" t="s">
        <v>230</v>
      </c>
      <c r="E11" t="s">
        <v>230</v>
      </c>
      <c r="F11" t="s">
        <v>44</v>
      </c>
      <c r="G11" t="s">
        <v>491</v>
      </c>
      <c r="H11" t="s">
        <v>492</v>
      </c>
      <c r="I11" t="s">
        <v>493</v>
      </c>
      <c r="J11" t="s">
        <v>494</v>
      </c>
    </row>
    <row r="12" spans="1:10">
      <c r="A12" t="s">
        <v>232</v>
      </c>
      <c r="B12" t="s">
        <v>232</v>
      </c>
      <c r="C12" t="s">
        <v>232</v>
      </c>
      <c r="D12" t="s">
        <v>495</v>
      </c>
      <c r="E12" t="s">
        <v>232</v>
      </c>
      <c r="F12" t="s">
        <v>49</v>
      </c>
      <c r="G12" t="s">
        <v>496</v>
      </c>
      <c r="H12" t="s">
        <v>471</v>
      </c>
      <c r="I12" t="s">
        <v>478</v>
      </c>
      <c r="J12" t="s">
        <v>497</v>
      </c>
    </row>
    <row r="13" spans="1:10">
      <c r="A13" t="s">
        <v>233</v>
      </c>
      <c r="B13" t="s">
        <v>233</v>
      </c>
      <c r="C13" t="s">
        <v>233</v>
      </c>
      <c r="D13" t="s">
        <v>498</v>
      </c>
      <c r="E13" t="s">
        <v>499</v>
      </c>
      <c r="F13" t="s">
        <v>50</v>
      </c>
      <c r="G13" t="s">
        <v>500</v>
      </c>
      <c r="H13" t="s">
        <v>466</v>
      </c>
      <c r="I13" t="s">
        <v>501</v>
      </c>
      <c r="J13" t="s">
        <v>502</v>
      </c>
    </row>
    <row r="14" spans="1:10">
      <c r="A14" t="s">
        <v>235</v>
      </c>
      <c r="B14" s="27" t="s">
        <v>235</v>
      </c>
      <c r="C14" t="s">
        <v>235</v>
      </c>
      <c r="D14" t="s">
        <v>235</v>
      </c>
      <c r="E14" t="s">
        <v>235</v>
      </c>
      <c r="F14" t="s">
        <v>53</v>
      </c>
      <c r="G14" t="s">
        <v>496</v>
      </c>
      <c r="H14" t="s">
        <v>471</v>
      </c>
      <c r="I14" t="s">
        <v>478</v>
      </c>
      <c r="J14" t="s">
        <v>503</v>
      </c>
    </row>
    <row r="15" spans="1:10">
      <c r="A15" t="s">
        <v>237</v>
      </c>
      <c r="B15" t="s">
        <v>237</v>
      </c>
      <c r="C15" s="27" t="s">
        <v>237</v>
      </c>
      <c r="D15" t="s">
        <v>504</v>
      </c>
      <c r="E15" t="s">
        <v>505</v>
      </c>
      <c r="F15" t="s">
        <v>506</v>
      </c>
      <c r="G15" t="s">
        <v>507</v>
      </c>
      <c r="H15" t="s">
        <v>508</v>
      </c>
      <c r="I15" t="s">
        <v>478</v>
      </c>
      <c r="J15" t="s">
        <v>509</v>
      </c>
    </row>
    <row r="16" spans="1:10">
      <c r="A16" t="s">
        <v>238</v>
      </c>
      <c r="B16" t="s">
        <v>238</v>
      </c>
      <c r="C16" t="s">
        <v>238</v>
      </c>
      <c r="D16" t="s">
        <v>510</v>
      </c>
      <c r="E16" t="s">
        <v>505</v>
      </c>
      <c r="F16" t="s">
        <v>56</v>
      </c>
      <c r="G16" t="s">
        <v>511</v>
      </c>
      <c r="H16" t="s">
        <v>508</v>
      </c>
      <c r="I16" t="s">
        <v>478</v>
      </c>
      <c r="J16" t="s">
        <v>509</v>
      </c>
    </row>
    <row r="17" spans="1:10">
      <c r="A17" s="27" t="s">
        <v>239</v>
      </c>
      <c r="B17" t="s">
        <v>512</v>
      </c>
      <c r="C17" t="s">
        <v>513</v>
      </c>
      <c r="D17" t="s">
        <v>239</v>
      </c>
      <c r="E17" t="s">
        <v>239</v>
      </c>
      <c r="F17" t="s">
        <v>514</v>
      </c>
      <c r="G17" t="s">
        <v>515</v>
      </c>
      <c r="H17" t="s">
        <v>492</v>
      </c>
      <c r="I17" t="s">
        <v>493</v>
      </c>
      <c r="J17" t="s">
        <v>494</v>
      </c>
    </row>
    <row r="18" spans="1:10">
      <c r="A18" t="s">
        <v>241</v>
      </c>
      <c r="B18" t="s">
        <v>241</v>
      </c>
      <c r="C18" t="s">
        <v>241</v>
      </c>
      <c r="D18" t="s">
        <v>241</v>
      </c>
      <c r="E18" t="s">
        <v>241</v>
      </c>
      <c r="F18" t="s">
        <v>59</v>
      </c>
      <c r="G18" t="s">
        <v>516</v>
      </c>
      <c r="H18" t="s">
        <v>517</v>
      </c>
      <c r="I18" t="s">
        <v>518</v>
      </c>
      <c r="J18" t="s">
        <v>241</v>
      </c>
    </row>
    <row r="19" spans="1:10">
      <c r="A19" t="s">
        <v>243</v>
      </c>
      <c r="B19" t="s">
        <v>243</v>
      </c>
      <c r="C19" t="s">
        <v>243</v>
      </c>
      <c r="D19" t="s">
        <v>519</v>
      </c>
      <c r="E19" t="s">
        <v>243</v>
      </c>
      <c r="F19" t="s">
        <v>60</v>
      </c>
      <c r="G19" t="s">
        <v>520</v>
      </c>
      <c r="H19" t="s">
        <v>466</v>
      </c>
      <c r="I19" t="s">
        <v>521</v>
      </c>
      <c r="J19" t="s">
        <v>522</v>
      </c>
    </row>
    <row r="20" spans="1:10">
      <c r="A20" t="s">
        <v>244</v>
      </c>
      <c r="B20" t="s">
        <v>512</v>
      </c>
      <c r="C20" t="s">
        <v>244</v>
      </c>
      <c r="D20" t="s">
        <v>244</v>
      </c>
      <c r="E20" t="s">
        <v>244</v>
      </c>
      <c r="F20" t="s">
        <v>61</v>
      </c>
      <c r="G20" t="s">
        <v>515</v>
      </c>
      <c r="H20" t="s">
        <v>492</v>
      </c>
      <c r="I20" t="s">
        <v>493</v>
      </c>
      <c r="J20" t="s">
        <v>494</v>
      </c>
    </row>
    <row r="21" spans="1:10">
      <c r="A21" t="s">
        <v>245</v>
      </c>
      <c r="B21" t="s">
        <v>245</v>
      </c>
      <c r="C21" t="s">
        <v>245</v>
      </c>
      <c r="D21" t="s">
        <v>523</v>
      </c>
      <c r="E21" t="s">
        <v>245</v>
      </c>
      <c r="F21" t="s">
        <v>524</v>
      </c>
      <c r="G21" t="s">
        <v>525</v>
      </c>
      <c r="H21" t="s">
        <v>471</v>
      </c>
      <c r="I21" t="s">
        <v>472</v>
      </c>
      <c r="J21" t="s">
        <v>526</v>
      </c>
    </row>
    <row r="22" spans="1:10">
      <c r="A22" t="s">
        <v>246</v>
      </c>
      <c r="B22" t="s">
        <v>246</v>
      </c>
      <c r="C22" s="27" t="s">
        <v>246</v>
      </c>
      <c r="D22" t="s">
        <v>246</v>
      </c>
      <c r="E22" t="s">
        <v>527</v>
      </c>
      <c r="F22" t="s">
        <v>528</v>
      </c>
      <c r="G22" s="73" t="s">
        <v>529</v>
      </c>
      <c r="H22" t="s">
        <v>492</v>
      </c>
      <c r="I22" t="s">
        <v>530</v>
      </c>
      <c r="J22" t="s">
        <v>531</v>
      </c>
    </row>
    <row r="23" spans="1:10">
      <c r="A23" t="s">
        <v>247</v>
      </c>
      <c r="B23" t="s">
        <v>247</v>
      </c>
      <c r="C23" t="s">
        <v>247</v>
      </c>
      <c r="D23" t="s">
        <v>247</v>
      </c>
      <c r="E23" t="s">
        <v>247</v>
      </c>
      <c r="F23" t="s">
        <v>532</v>
      </c>
      <c r="G23" t="s">
        <v>525</v>
      </c>
      <c r="H23" t="s">
        <v>471</v>
      </c>
      <c r="I23" t="s">
        <v>472</v>
      </c>
      <c r="J23" t="s">
        <v>533</v>
      </c>
    </row>
    <row r="24" spans="1:10">
      <c r="A24" t="s">
        <v>248</v>
      </c>
      <c r="B24" t="s">
        <v>248</v>
      </c>
      <c r="C24" t="s">
        <v>248</v>
      </c>
      <c r="D24" t="s">
        <v>248</v>
      </c>
      <c r="E24" t="s">
        <v>248</v>
      </c>
      <c r="F24" t="s">
        <v>66</v>
      </c>
      <c r="G24" t="s">
        <v>534</v>
      </c>
      <c r="H24" t="s">
        <v>535</v>
      </c>
      <c r="I24" t="s">
        <v>501</v>
      </c>
      <c r="J24" t="s">
        <v>536</v>
      </c>
    </row>
    <row r="25" spans="1:10">
      <c r="A25" t="s">
        <v>249</v>
      </c>
      <c r="B25" t="s">
        <v>249</v>
      </c>
      <c r="C25" t="s">
        <v>249</v>
      </c>
      <c r="D25" t="s">
        <v>537</v>
      </c>
      <c r="E25" t="s">
        <v>249</v>
      </c>
      <c r="F25" t="s">
        <v>67</v>
      </c>
      <c r="G25" s="73" t="s">
        <v>392</v>
      </c>
      <c r="H25" t="s">
        <v>538</v>
      </c>
      <c r="I25" t="s">
        <v>539</v>
      </c>
      <c r="J25" t="s">
        <v>497</v>
      </c>
    </row>
    <row r="26" spans="1:10">
      <c r="A26" t="s">
        <v>251</v>
      </c>
      <c r="B26" t="s">
        <v>251</v>
      </c>
      <c r="C26" t="s">
        <v>251</v>
      </c>
      <c r="D26" t="s">
        <v>251</v>
      </c>
      <c r="E26" t="s">
        <v>251</v>
      </c>
      <c r="F26" t="s">
        <v>70</v>
      </c>
      <c r="G26" t="s">
        <v>540</v>
      </c>
      <c r="H26" t="s">
        <v>492</v>
      </c>
      <c r="I26" t="s">
        <v>493</v>
      </c>
      <c r="J26" t="s">
        <v>494</v>
      </c>
    </row>
    <row r="27" spans="1:10">
      <c r="A27" t="s">
        <v>252</v>
      </c>
      <c r="B27" t="s">
        <v>252</v>
      </c>
      <c r="C27" t="s">
        <v>252</v>
      </c>
      <c r="D27" t="s">
        <v>541</v>
      </c>
      <c r="E27" t="s">
        <v>252</v>
      </c>
      <c r="F27" t="s">
        <v>542</v>
      </c>
      <c r="G27" t="s">
        <v>525</v>
      </c>
      <c r="H27" t="s">
        <v>471</v>
      </c>
      <c r="I27" t="s">
        <v>472</v>
      </c>
      <c r="J27" t="s">
        <v>543</v>
      </c>
    </row>
    <row r="28" spans="1:10">
      <c r="A28" t="s">
        <v>253</v>
      </c>
      <c r="B28" t="s">
        <v>253</v>
      </c>
      <c r="C28" s="27" t="s">
        <v>253</v>
      </c>
      <c r="D28" t="s">
        <v>498</v>
      </c>
      <c r="E28" t="s">
        <v>499</v>
      </c>
      <c r="F28" t="s">
        <v>72</v>
      </c>
      <c r="G28" t="s">
        <v>500</v>
      </c>
      <c r="H28" t="s">
        <v>466</v>
      </c>
      <c r="I28" t="s">
        <v>501</v>
      </c>
      <c r="J28" t="s">
        <v>502</v>
      </c>
    </row>
    <row r="29" spans="1:10">
      <c r="A29" t="s">
        <v>254</v>
      </c>
      <c r="B29" t="s">
        <v>254</v>
      </c>
      <c r="C29" t="s">
        <v>254</v>
      </c>
      <c r="D29" t="s">
        <v>544</v>
      </c>
      <c r="E29" t="s">
        <v>254</v>
      </c>
      <c r="F29" t="s">
        <v>73</v>
      </c>
      <c r="G29" t="s">
        <v>545</v>
      </c>
      <c r="H29" t="s">
        <v>466</v>
      </c>
      <c r="I29" t="s">
        <v>501</v>
      </c>
      <c r="J29" t="s">
        <v>546</v>
      </c>
    </row>
    <row r="30" spans="1:10">
      <c r="A30" t="s">
        <v>255</v>
      </c>
      <c r="B30" t="s">
        <v>255</v>
      </c>
      <c r="C30" t="s">
        <v>255</v>
      </c>
      <c r="D30" t="s">
        <v>547</v>
      </c>
      <c r="E30" t="s">
        <v>255</v>
      </c>
      <c r="F30" t="s">
        <v>74</v>
      </c>
      <c r="G30" t="s">
        <v>548</v>
      </c>
      <c r="H30" t="s">
        <v>471</v>
      </c>
      <c r="I30" t="s">
        <v>472</v>
      </c>
      <c r="J30" t="s">
        <v>549</v>
      </c>
    </row>
    <row r="31" spans="1:10">
      <c r="A31" t="s">
        <v>256</v>
      </c>
      <c r="B31" t="s">
        <v>256</v>
      </c>
      <c r="C31" t="s">
        <v>256</v>
      </c>
      <c r="D31" t="s">
        <v>256</v>
      </c>
      <c r="E31" t="s">
        <v>256</v>
      </c>
      <c r="F31" t="s">
        <v>68</v>
      </c>
      <c r="G31" t="s">
        <v>550</v>
      </c>
      <c r="H31" t="s">
        <v>68</v>
      </c>
      <c r="I31" t="s">
        <v>256</v>
      </c>
      <c r="J31" t="s">
        <v>551</v>
      </c>
    </row>
    <row r="32" spans="1:10">
      <c r="A32" t="s">
        <v>257</v>
      </c>
      <c r="B32" t="s">
        <v>257</v>
      </c>
      <c r="C32" t="s">
        <v>257</v>
      </c>
      <c r="D32" t="s">
        <v>552</v>
      </c>
      <c r="E32" t="s">
        <v>257</v>
      </c>
      <c r="F32" t="s">
        <v>77</v>
      </c>
      <c r="G32" t="s">
        <v>553</v>
      </c>
      <c r="H32" t="s">
        <v>554</v>
      </c>
      <c r="I32" t="s">
        <v>518</v>
      </c>
      <c r="J32" t="s">
        <v>555</v>
      </c>
    </row>
    <row r="33" spans="1:10">
      <c r="A33" t="s">
        <v>259</v>
      </c>
      <c r="B33" t="s">
        <v>259</v>
      </c>
      <c r="C33" t="s">
        <v>259</v>
      </c>
      <c r="D33" t="s">
        <v>556</v>
      </c>
      <c r="E33" t="s">
        <v>259</v>
      </c>
      <c r="F33" t="s">
        <v>79</v>
      </c>
      <c r="G33" t="s">
        <v>470</v>
      </c>
      <c r="H33" t="s">
        <v>471</v>
      </c>
      <c r="I33" t="s">
        <v>472</v>
      </c>
      <c r="J33" t="s">
        <v>557</v>
      </c>
    </row>
    <row r="34" spans="1:10">
      <c r="A34" t="s">
        <v>260</v>
      </c>
      <c r="B34" t="s">
        <v>260</v>
      </c>
      <c r="C34" t="s">
        <v>260</v>
      </c>
      <c r="D34" t="s">
        <v>558</v>
      </c>
      <c r="E34" t="s">
        <v>260</v>
      </c>
      <c r="F34" t="s">
        <v>80</v>
      </c>
      <c r="G34" t="s">
        <v>470</v>
      </c>
      <c r="H34" t="s">
        <v>535</v>
      </c>
      <c r="I34" t="s">
        <v>472</v>
      </c>
      <c r="J34" t="s">
        <v>536</v>
      </c>
    </row>
    <row r="35" spans="1:10">
      <c r="A35" t="s">
        <v>261</v>
      </c>
      <c r="B35" t="s">
        <v>261</v>
      </c>
      <c r="C35" t="s">
        <v>261</v>
      </c>
      <c r="D35" t="s">
        <v>261</v>
      </c>
      <c r="E35" t="s">
        <v>261</v>
      </c>
      <c r="F35" t="s">
        <v>81</v>
      </c>
      <c r="G35" t="s">
        <v>559</v>
      </c>
      <c r="H35" t="s">
        <v>471</v>
      </c>
      <c r="I35" t="s">
        <v>560</v>
      </c>
      <c r="J35" t="s">
        <v>561</v>
      </c>
    </row>
    <row r="36" spans="1:10">
      <c r="A36" t="s">
        <v>262</v>
      </c>
      <c r="B36" t="s">
        <v>262</v>
      </c>
      <c r="C36" t="s">
        <v>262</v>
      </c>
      <c r="D36" t="s">
        <v>262</v>
      </c>
      <c r="E36" t="s">
        <v>262</v>
      </c>
      <c r="F36" t="s">
        <v>82</v>
      </c>
      <c r="G36" t="s">
        <v>562</v>
      </c>
      <c r="H36" t="s">
        <v>538</v>
      </c>
      <c r="I36" t="s">
        <v>563</v>
      </c>
      <c r="J36" t="s">
        <v>564</v>
      </c>
    </row>
    <row r="37" spans="1:10">
      <c r="A37" t="s">
        <v>264</v>
      </c>
      <c r="B37" t="s">
        <v>264</v>
      </c>
      <c r="C37" t="s">
        <v>264</v>
      </c>
      <c r="D37" t="s">
        <v>264</v>
      </c>
      <c r="E37" t="s">
        <v>264</v>
      </c>
      <c r="F37" t="s">
        <v>84</v>
      </c>
      <c r="G37" t="s">
        <v>565</v>
      </c>
      <c r="H37" t="s">
        <v>466</v>
      </c>
      <c r="I37" t="s">
        <v>521</v>
      </c>
      <c r="J37" t="s">
        <v>566</v>
      </c>
    </row>
    <row r="38" spans="1:10" s="20" customFormat="1">
      <c r="A38" s="17" t="s">
        <v>453</v>
      </c>
      <c r="B38" s="21" t="str">
        <f t="shared" ref="B38:F38" si="0">B4</f>
        <v>Mapping to 90.1-2016 PRM</v>
      </c>
      <c r="C38" s="21" t="str">
        <f t="shared" si="0"/>
        <v>Mapping to 90.1-2010</v>
      </c>
      <c r="D38" s="21" t="str">
        <f t="shared" si="0"/>
        <v>Mapping to 90.1-2007</v>
      </c>
      <c r="E38" s="21" t="str">
        <f t="shared" si="0"/>
        <v>Mapping to 90.1-2001</v>
      </c>
      <c r="F38" s="21" t="str">
        <f t="shared" si="0"/>
        <v>Mapping to SSPC-90.1</v>
      </c>
      <c r="G38" s="21" t="str">
        <f>G4</f>
        <v>Mapping to CBECS 2003</v>
      </c>
      <c r="H38" s="21" t="str">
        <f t="shared" ref="H38:J38" si="1">H4</f>
        <v>Mapping to CEUS</v>
      </c>
      <c r="I38" s="21" t="str">
        <f>I4</f>
        <v>Mapping to ECB-CS</v>
      </c>
      <c r="J38" s="21" t="str">
        <f t="shared" si="1"/>
        <v>Mapping to ACM05</v>
      </c>
    </row>
    <row r="39" spans="1:10">
      <c r="A39" t="s">
        <v>265</v>
      </c>
      <c r="B39" s="27" t="s">
        <v>265</v>
      </c>
      <c r="C39" s="34" t="s">
        <v>567</v>
      </c>
      <c r="D39" s="34" t="s">
        <v>568</v>
      </c>
      <c r="E39" s="34" t="s">
        <v>568</v>
      </c>
      <c r="F39" t="s">
        <v>542</v>
      </c>
      <c r="G39" s="34" t="s">
        <v>470</v>
      </c>
      <c r="H39" t="s">
        <v>471</v>
      </c>
      <c r="I39" s="34" t="s">
        <v>569</v>
      </c>
      <c r="J39" s="34" t="s">
        <v>526</v>
      </c>
    </row>
    <row r="40" spans="1:10">
      <c r="A40" t="s">
        <v>267</v>
      </c>
      <c r="B40" s="27" t="s">
        <v>267</v>
      </c>
      <c r="C40" s="34" t="s">
        <v>570</v>
      </c>
      <c r="D40" s="34" t="s">
        <v>571</v>
      </c>
      <c r="E40" s="34" t="s">
        <v>572</v>
      </c>
      <c r="F40" t="s">
        <v>37</v>
      </c>
      <c r="G40" s="34" t="s">
        <v>470</v>
      </c>
      <c r="H40" t="s">
        <v>471</v>
      </c>
      <c r="I40" s="34" t="s">
        <v>573</v>
      </c>
      <c r="J40" s="34" t="s">
        <v>574</v>
      </c>
    </row>
    <row r="41" spans="1:10">
      <c r="A41" t="s">
        <v>268</v>
      </c>
      <c r="B41" s="27" t="s">
        <v>268</v>
      </c>
      <c r="C41" s="34" t="s">
        <v>575</v>
      </c>
      <c r="D41" s="34" t="s">
        <v>576</v>
      </c>
      <c r="E41" s="34" t="s">
        <v>577</v>
      </c>
      <c r="F41" s="27" t="s">
        <v>49</v>
      </c>
      <c r="G41" s="34" t="s">
        <v>496</v>
      </c>
      <c r="H41" t="s">
        <v>471</v>
      </c>
      <c r="I41" s="34" t="s">
        <v>578</v>
      </c>
      <c r="J41" s="34" t="s">
        <v>503</v>
      </c>
    </row>
    <row r="42" spans="1:10">
      <c r="A42" t="s">
        <v>269</v>
      </c>
      <c r="B42" s="27" t="s">
        <v>269</v>
      </c>
      <c r="C42" s="34" t="s">
        <v>575</v>
      </c>
      <c r="D42" s="34" t="s">
        <v>579</v>
      </c>
      <c r="E42" s="34" t="s">
        <v>580</v>
      </c>
      <c r="F42" t="s">
        <v>53</v>
      </c>
      <c r="G42" s="34" t="s">
        <v>496</v>
      </c>
      <c r="H42" t="s">
        <v>471</v>
      </c>
      <c r="I42" s="34" t="s">
        <v>578</v>
      </c>
      <c r="J42" s="34" t="s">
        <v>503</v>
      </c>
    </row>
    <row r="43" spans="1:10">
      <c r="A43" t="s">
        <v>270</v>
      </c>
      <c r="B43" s="27" t="s">
        <v>270</v>
      </c>
      <c r="C43" s="34" t="s">
        <v>581</v>
      </c>
      <c r="D43" s="34" t="s">
        <v>582</v>
      </c>
      <c r="E43" s="34" t="s">
        <v>583</v>
      </c>
      <c r="F43" t="s">
        <v>524</v>
      </c>
      <c r="G43" s="34" t="s">
        <v>525</v>
      </c>
      <c r="H43" t="s">
        <v>471</v>
      </c>
      <c r="I43" s="34" t="s">
        <v>584</v>
      </c>
      <c r="J43" s="34" t="s">
        <v>585</v>
      </c>
    </row>
    <row r="44" spans="1:10">
      <c r="A44" t="s">
        <v>271</v>
      </c>
      <c r="B44" s="27" t="s">
        <v>271</v>
      </c>
      <c r="C44" s="34" t="s">
        <v>567</v>
      </c>
      <c r="D44" s="34" t="s">
        <v>586</v>
      </c>
      <c r="E44" s="34" t="s">
        <v>587</v>
      </c>
      <c r="F44" t="s">
        <v>70</v>
      </c>
      <c r="G44" s="34" t="s">
        <v>470</v>
      </c>
      <c r="H44" t="s">
        <v>471</v>
      </c>
      <c r="I44" s="34" t="s">
        <v>569</v>
      </c>
      <c r="J44" s="34" t="s">
        <v>526</v>
      </c>
    </row>
    <row r="45" spans="1:10">
      <c r="A45" t="s">
        <v>272</v>
      </c>
      <c r="B45" s="27" t="s">
        <v>272</v>
      </c>
      <c r="C45" s="34" t="s">
        <v>588</v>
      </c>
      <c r="D45" s="34" t="s">
        <v>589</v>
      </c>
      <c r="E45" s="34" t="s">
        <v>590</v>
      </c>
      <c r="F45" t="s">
        <v>542</v>
      </c>
      <c r="G45" s="34" t="s">
        <v>525</v>
      </c>
      <c r="H45" t="s">
        <v>471</v>
      </c>
      <c r="I45" s="34" t="s">
        <v>591</v>
      </c>
      <c r="J45" s="34" t="s">
        <v>543</v>
      </c>
    </row>
    <row r="46" spans="1:10">
      <c r="A46" t="s">
        <v>273</v>
      </c>
      <c r="B46" t="s">
        <v>273</v>
      </c>
      <c r="C46" s="34" t="s">
        <v>592</v>
      </c>
      <c r="D46" s="34" t="s">
        <v>593</v>
      </c>
      <c r="E46" s="34" t="s">
        <v>594</v>
      </c>
      <c r="F46" t="s">
        <v>74</v>
      </c>
      <c r="G46" s="34" t="s">
        <v>595</v>
      </c>
      <c r="H46" t="s">
        <v>471</v>
      </c>
      <c r="I46" s="34" t="s">
        <v>596</v>
      </c>
      <c r="J46" s="34" t="s">
        <v>597</v>
      </c>
    </row>
    <row r="47" spans="1:10">
      <c r="A47" t="s">
        <v>274</v>
      </c>
      <c r="B47" t="s">
        <v>274</v>
      </c>
      <c r="C47" s="34" t="s">
        <v>598</v>
      </c>
      <c r="D47" s="34" t="s">
        <v>599</v>
      </c>
      <c r="E47" s="34" t="s">
        <v>600</v>
      </c>
      <c r="F47" t="s">
        <v>79</v>
      </c>
      <c r="G47" s="34" t="s">
        <v>525</v>
      </c>
      <c r="H47" t="s">
        <v>471</v>
      </c>
      <c r="I47" s="34" t="s">
        <v>578</v>
      </c>
      <c r="J47" s="34" t="s">
        <v>503</v>
      </c>
    </row>
    <row r="48" spans="1:10">
      <c r="A48" t="s">
        <v>275</v>
      </c>
      <c r="B48" t="s">
        <v>275</v>
      </c>
      <c r="C48" s="34" t="s">
        <v>601</v>
      </c>
      <c r="D48" s="34" t="s">
        <v>602</v>
      </c>
      <c r="E48" s="34" t="s">
        <v>603</v>
      </c>
      <c r="F48" t="s">
        <v>81</v>
      </c>
      <c r="G48" s="34" t="s">
        <v>470</v>
      </c>
      <c r="H48" t="s">
        <v>471</v>
      </c>
      <c r="I48" s="34" t="s">
        <v>604</v>
      </c>
      <c r="J48" s="34" t="s">
        <v>561</v>
      </c>
    </row>
    <row r="49" spans="1:10">
      <c r="A49" t="s">
        <v>276</v>
      </c>
      <c r="B49" t="s">
        <v>276</v>
      </c>
      <c r="C49" s="34" t="s">
        <v>567</v>
      </c>
      <c r="D49" s="34" t="s">
        <v>568</v>
      </c>
      <c r="E49" s="34" t="s">
        <v>568</v>
      </c>
      <c r="F49" t="s">
        <v>605</v>
      </c>
      <c r="G49" s="34" t="s">
        <v>470</v>
      </c>
      <c r="H49" t="s">
        <v>471</v>
      </c>
      <c r="I49" s="34" t="s">
        <v>569</v>
      </c>
      <c r="J49" s="34" t="s">
        <v>526</v>
      </c>
    </row>
    <row r="50" spans="1:10">
      <c r="A50" t="s">
        <v>277</v>
      </c>
      <c r="B50" t="s">
        <v>277</v>
      </c>
      <c r="C50" t="s">
        <v>606</v>
      </c>
      <c r="D50" s="34" t="s">
        <v>607</v>
      </c>
      <c r="E50" s="34" t="s">
        <v>607</v>
      </c>
      <c r="F50" t="s">
        <v>605</v>
      </c>
      <c r="G50" s="69" t="s">
        <v>392</v>
      </c>
      <c r="H50" t="s">
        <v>471</v>
      </c>
      <c r="I50" s="34" t="s">
        <v>608</v>
      </c>
      <c r="J50" s="34" t="s">
        <v>609</v>
      </c>
    </row>
    <row r="51" spans="1:10">
      <c r="A51" t="s">
        <v>278</v>
      </c>
      <c r="B51" t="s">
        <v>278</v>
      </c>
      <c r="C51" t="s">
        <v>610</v>
      </c>
      <c r="D51" s="34" t="s">
        <v>611</v>
      </c>
      <c r="E51" s="34" t="s">
        <v>611</v>
      </c>
      <c r="F51" t="s">
        <v>605</v>
      </c>
      <c r="G51" s="69" t="s">
        <v>392</v>
      </c>
      <c r="H51" t="s">
        <v>471</v>
      </c>
      <c r="I51" s="34" t="s">
        <v>608</v>
      </c>
      <c r="J51" s="34" t="s">
        <v>609</v>
      </c>
    </row>
    <row r="52" spans="1:10">
      <c r="A52" t="s">
        <v>279</v>
      </c>
      <c r="B52" t="s">
        <v>279</v>
      </c>
      <c r="C52" s="34" t="s">
        <v>612</v>
      </c>
      <c r="D52" s="34" t="s">
        <v>613</v>
      </c>
      <c r="E52" s="34" t="s">
        <v>613</v>
      </c>
      <c r="F52" t="s">
        <v>66</v>
      </c>
      <c r="G52" s="34" t="s">
        <v>614</v>
      </c>
      <c r="H52" t="s">
        <v>535</v>
      </c>
      <c r="I52" s="34" t="s">
        <v>615</v>
      </c>
      <c r="J52" s="34" t="s">
        <v>616</v>
      </c>
    </row>
    <row r="53" spans="1:10">
      <c r="A53" t="s">
        <v>280</v>
      </c>
      <c r="B53" t="s">
        <v>280</v>
      </c>
      <c r="C53" s="34" t="s">
        <v>617</v>
      </c>
      <c r="D53" s="34" t="s">
        <v>618</v>
      </c>
      <c r="E53" s="34" t="s">
        <v>618</v>
      </c>
      <c r="F53" t="s">
        <v>70</v>
      </c>
      <c r="G53" s="34" t="s">
        <v>619</v>
      </c>
      <c r="H53" t="s">
        <v>554</v>
      </c>
      <c r="I53" s="34" t="s">
        <v>620</v>
      </c>
      <c r="J53" s="34" t="s">
        <v>621</v>
      </c>
    </row>
    <row r="54" spans="1:10">
      <c r="A54" t="s">
        <v>281</v>
      </c>
      <c r="B54" t="s">
        <v>281</v>
      </c>
      <c r="C54" t="s">
        <v>617</v>
      </c>
      <c r="D54" t="s">
        <v>618</v>
      </c>
      <c r="E54" s="34" t="s">
        <v>618</v>
      </c>
      <c r="F54" t="s">
        <v>77</v>
      </c>
      <c r="G54" s="34" t="s">
        <v>619</v>
      </c>
      <c r="H54" t="s">
        <v>554</v>
      </c>
      <c r="I54" s="34" t="s">
        <v>620</v>
      </c>
      <c r="J54" s="34" t="s">
        <v>621</v>
      </c>
    </row>
    <row r="55" spans="1:10">
      <c r="A55" t="s">
        <v>282</v>
      </c>
      <c r="B55" t="s">
        <v>282</v>
      </c>
      <c r="C55" t="s">
        <v>617</v>
      </c>
      <c r="D55" t="s">
        <v>618</v>
      </c>
      <c r="E55" s="34" t="s">
        <v>618</v>
      </c>
      <c r="F55" t="s">
        <v>605</v>
      </c>
      <c r="G55" s="34" t="s">
        <v>619</v>
      </c>
      <c r="H55" t="s">
        <v>554</v>
      </c>
      <c r="I55" s="34" t="s">
        <v>620</v>
      </c>
      <c r="J55" s="34" t="s">
        <v>621</v>
      </c>
    </row>
    <row r="56" spans="1:10">
      <c r="A56" s="27" t="s">
        <v>283</v>
      </c>
      <c r="B56" t="s">
        <v>283</v>
      </c>
      <c r="C56" s="34" t="s">
        <v>622</v>
      </c>
      <c r="D56" s="34" t="s">
        <v>623</v>
      </c>
      <c r="E56" s="34" t="s">
        <v>623</v>
      </c>
      <c r="F56" t="s">
        <v>605</v>
      </c>
      <c r="G56" s="34" t="s">
        <v>595</v>
      </c>
      <c r="H56" t="s">
        <v>624</v>
      </c>
      <c r="I56" s="34" t="s">
        <v>573</v>
      </c>
      <c r="J56" s="34" t="s">
        <v>574</v>
      </c>
    </row>
    <row r="57" spans="1:10">
      <c r="A57" t="s">
        <v>284</v>
      </c>
      <c r="B57" t="s">
        <v>284</v>
      </c>
      <c r="C57" s="34" t="s">
        <v>625</v>
      </c>
      <c r="D57" t="s">
        <v>626</v>
      </c>
      <c r="E57" s="34" t="s">
        <v>626</v>
      </c>
      <c r="F57" t="s">
        <v>70</v>
      </c>
      <c r="G57" s="34" t="s">
        <v>540</v>
      </c>
      <c r="H57" t="s">
        <v>492</v>
      </c>
      <c r="I57" s="34" t="s">
        <v>627</v>
      </c>
      <c r="J57" s="69" t="s">
        <v>502</v>
      </c>
    </row>
    <row r="58" spans="1:10" ht="12" customHeight="1">
      <c r="A58" t="s">
        <v>285</v>
      </c>
      <c r="B58" t="s">
        <v>285</v>
      </c>
      <c r="C58" s="34" t="s">
        <v>628</v>
      </c>
      <c r="D58" t="s">
        <v>629</v>
      </c>
      <c r="E58" s="34"/>
      <c r="F58" t="s">
        <v>605</v>
      </c>
      <c r="G58" s="34" t="s">
        <v>630</v>
      </c>
      <c r="H58" t="s">
        <v>392</v>
      </c>
      <c r="I58" s="34" t="s">
        <v>392</v>
      </c>
      <c r="J58" s="69" t="s">
        <v>392</v>
      </c>
    </row>
    <row r="59" spans="1:10" ht="12" customHeight="1">
      <c r="A59" t="s">
        <v>286</v>
      </c>
      <c r="B59" t="s">
        <v>286</v>
      </c>
      <c r="C59" s="34" t="s">
        <v>631</v>
      </c>
      <c r="E59" s="34"/>
      <c r="F59" t="s">
        <v>605</v>
      </c>
      <c r="G59" s="34" t="s">
        <v>632</v>
      </c>
      <c r="H59" t="s">
        <v>492</v>
      </c>
      <c r="I59" s="34" t="s">
        <v>633</v>
      </c>
      <c r="J59" s="34" t="s">
        <v>634</v>
      </c>
    </row>
    <row r="60" spans="1:10">
      <c r="A60" t="s">
        <v>287</v>
      </c>
      <c r="B60" t="s">
        <v>287</v>
      </c>
      <c r="C60" s="34" t="s">
        <v>635</v>
      </c>
      <c r="D60" s="34" t="s">
        <v>636</v>
      </c>
      <c r="E60" s="34" t="s">
        <v>637</v>
      </c>
      <c r="F60" t="s">
        <v>605</v>
      </c>
      <c r="G60" s="34" t="s">
        <v>638</v>
      </c>
      <c r="H60" t="s">
        <v>508</v>
      </c>
      <c r="I60" s="34" t="s">
        <v>633</v>
      </c>
      <c r="J60" s="34" t="s">
        <v>634</v>
      </c>
    </row>
    <row r="61" spans="1:10">
      <c r="A61" t="s">
        <v>288</v>
      </c>
      <c r="B61" t="s">
        <v>288</v>
      </c>
      <c r="C61" s="34" t="s">
        <v>639</v>
      </c>
      <c r="D61" s="34" t="s">
        <v>640</v>
      </c>
      <c r="E61" s="34" t="s">
        <v>641</v>
      </c>
      <c r="F61" t="s">
        <v>60</v>
      </c>
      <c r="G61" s="34" t="s">
        <v>520</v>
      </c>
      <c r="H61" t="s">
        <v>471</v>
      </c>
      <c r="I61" s="34" t="s">
        <v>642</v>
      </c>
      <c r="J61" s="34" t="s">
        <v>634</v>
      </c>
    </row>
    <row r="62" spans="1:10">
      <c r="A62" t="s">
        <v>289</v>
      </c>
      <c r="B62" t="s">
        <v>289</v>
      </c>
      <c r="C62" s="34" t="s">
        <v>631</v>
      </c>
      <c r="D62" s="34" t="s">
        <v>643</v>
      </c>
      <c r="E62" s="34" t="s">
        <v>643</v>
      </c>
      <c r="F62" t="s">
        <v>605</v>
      </c>
      <c r="G62" s="69" t="s">
        <v>630</v>
      </c>
      <c r="H62" t="s">
        <v>471</v>
      </c>
      <c r="I62" s="34" t="s">
        <v>642</v>
      </c>
      <c r="J62" s="34" t="s">
        <v>634</v>
      </c>
    </row>
    <row r="63" spans="1:10">
      <c r="A63" t="s">
        <v>290</v>
      </c>
      <c r="B63" t="s">
        <v>290</v>
      </c>
      <c r="C63" s="34" t="s">
        <v>644</v>
      </c>
      <c r="D63" s="34" t="s">
        <v>645</v>
      </c>
      <c r="E63" s="34" t="s">
        <v>645</v>
      </c>
      <c r="F63" t="s">
        <v>475</v>
      </c>
      <c r="G63" s="34" t="s">
        <v>540</v>
      </c>
      <c r="H63" t="s">
        <v>477</v>
      </c>
      <c r="I63" s="34" t="s">
        <v>646</v>
      </c>
      <c r="J63" s="34" t="s">
        <v>502</v>
      </c>
    </row>
    <row r="64" spans="1:10">
      <c r="A64" t="s">
        <v>291</v>
      </c>
      <c r="B64" t="s">
        <v>291</v>
      </c>
      <c r="C64" s="34" t="s">
        <v>647</v>
      </c>
      <c r="D64" s="34" t="s">
        <v>648</v>
      </c>
      <c r="E64" s="34" t="s">
        <v>648</v>
      </c>
      <c r="F64" t="s">
        <v>392</v>
      </c>
      <c r="G64" s="34" t="s">
        <v>392</v>
      </c>
      <c r="H64" t="s">
        <v>392</v>
      </c>
      <c r="I64" s="34" t="s">
        <v>392</v>
      </c>
      <c r="J64" s="34" t="s">
        <v>497</v>
      </c>
    </row>
    <row r="65" spans="1:10">
      <c r="A65" t="s">
        <v>293</v>
      </c>
      <c r="B65" t="s">
        <v>293</v>
      </c>
      <c r="C65" t="s">
        <v>228</v>
      </c>
      <c r="D65" t="s">
        <v>485</v>
      </c>
      <c r="E65" t="s">
        <v>228</v>
      </c>
      <c r="F65" t="s">
        <v>486</v>
      </c>
      <c r="G65" t="s">
        <v>490</v>
      </c>
      <c r="H65" t="s">
        <v>482</v>
      </c>
      <c r="I65" t="s">
        <v>649</v>
      </c>
      <c r="J65" t="s">
        <v>650</v>
      </c>
    </row>
    <row r="66" spans="1:10">
      <c r="A66" t="s">
        <v>294</v>
      </c>
      <c r="B66" t="s">
        <v>294</v>
      </c>
      <c r="C66" t="s">
        <v>229</v>
      </c>
      <c r="D66" t="s">
        <v>488</v>
      </c>
      <c r="E66" t="s">
        <v>229</v>
      </c>
      <c r="F66" t="s">
        <v>486</v>
      </c>
      <c r="G66" t="s">
        <v>481</v>
      </c>
      <c r="H66" t="s">
        <v>482</v>
      </c>
      <c r="I66" t="s">
        <v>651</v>
      </c>
      <c r="J66" t="s">
        <v>650</v>
      </c>
    </row>
    <row r="67" spans="1:10">
      <c r="A67" t="s">
        <v>295</v>
      </c>
      <c r="B67" t="s">
        <v>295</v>
      </c>
      <c r="C67" s="34" t="s">
        <v>652</v>
      </c>
      <c r="D67" s="34" t="s">
        <v>653</v>
      </c>
      <c r="E67" s="34" t="s">
        <v>654</v>
      </c>
      <c r="F67" t="s">
        <v>480</v>
      </c>
      <c r="G67" s="34" t="s">
        <v>490</v>
      </c>
      <c r="H67" t="s">
        <v>482</v>
      </c>
      <c r="I67" s="34" t="s">
        <v>651</v>
      </c>
      <c r="J67" s="34" t="s">
        <v>655</v>
      </c>
    </row>
    <row r="68" spans="1:10">
      <c r="A68" t="s">
        <v>296</v>
      </c>
      <c r="B68" t="s">
        <v>296</v>
      </c>
      <c r="C68" t="s">
        <v>228</v>
      </c>
      <c r="D68" t="s">
        <v>485</v>
      </c>
      <c r="E68" t="s">
        <v>228</v>
      </c>
      <c r="F68" t="s">
        <v>486</v>
      </c>
      <c r="G68" t="s">
        <v>487</v>
      </c>
      <c r="H68" t="s">
        <v>482</v>
      </c>
      <c r="I68" t="s">
        <v>649</v>
      </c>
      <c r="J68" t="s">
        <v>650</v>
      </c>
    </row>
    <row r="69" spans="1:10">
      <c r="A69" t="s">
        <v>297</v>
      </c>
      <c r="B69" t="s">
        <v>297</v>
      </c>
      <c r="C69" s="34" t="s">
        <v>656</v>
      </c>
      <c r="D69" t="s">
        <v>657</v>
      </c>
      <c r="E69" s="34" t="s">
        <v>658</v>
      </c>
      <c r="F69" t="s">
        <v>489</v>
      </c>
      <c r="G69" s="34" t="s">
        <v>481</v>
      </c>
      <c r="H69" t="s">
        <v>482</v>
      </c>
      <c r="I69" s="34" t="s">
        <v>659</v>
      </c>
      <c r="J69" s="34" t="s">
        <v>634</v>
      </c>
    </row>
    <row r="70" spans="1:10">
      <c r="A70" t="s">
        <v>298</v>
      </c>
      <c r="B70" t="s">
        <v>298</v>
      </c>
      <c r="C70" s="34" t="s">
        <v>660</v>
      </c>
      <c r="D70" s="34" t="s">
        <v>660</v>
      </c>
      <c r="E70" s="34" t="s">
        <v>660</v>
      </c>
      <c r="F70" t="s">
        <v>489</v>
      </c>
      <c r="G70" s="34" t="s">
        <v>481</v>
      </c>
      <c r="H70" t="s">
        <v>482</v>
      </c>
      <c r="I70" s="34" t="s">
        <v>661</v>
      </c>
      <c r="J70" s="34" t="s">
        <v>650</v>
      </c>
    </row>
    <row r="71" spans="1:10">
      <c r="A71" t="s">
        <v>299</v>
      </c>
      <c r="B71" t="s">
        <v>299</v>
      </c>
      <c r="C71" t="s">
        <v>662</v>
      </c>
      <c r="D71" t="s">
        <v>663</v>
      </c>
      <c r="E71" t="s">
        <v>663</v>
      </c>
      <c r="F71" t="s">
        <v>392</v>
      </c>
      <c r="G71" s="34" t="s">
        <v>630</v>
      </c>
      <c r="H71" t="s">
        <v>630</v>
      </c>
      <c r="I71" t="s">
        <v>630</v>
      </c>
      <c r="J71" s="34" t="s">
        <v>664</v>
      </c>
    </row>
    <row r="72" spans="1:10">
      <c r="A72" t="s">
        <v>300</v>
      </c>
      <c r="B72" t="s">
        <v>300</v>
      </c>
      <c r="C72" s="34" t="s">
        <v>662</v>
      </c>
      <c r="D72" s="34" t="s">
        <v>663</v>
      </c>
      <c r="E72" s="34" t="s">
        <v>663</v>
      </c>
      <c r="F72" t="s">
        <v>605</v>
      </c>
      <c r="G72" s="34" t="s">
        <v>665</v>
      </c>
      <c r="H72" t="s">
        <v>466</v>
      </c>
      <c r="I72" s="34" t="s">
        <v>666</v>
      </c>
      <c r="J72" s="34" t="s">
        <v>502</v>
      </c>
    </row>
    <row r="73" spans="1:10">
      <c r="A73" t="s">
        <v>301</v>
      </c>
      <c r="B73" t="s">
        <v>301</v>
      </c>
      <c r="C73" s="34" t="s">
        <v>667</v>
      </c>
      <c r="D73" s="34" t="s">
        <v>668</v>
      </c>
      <c r="E73" s="34" t="s">
        <v>668</v>
      </c>
      <c r="F73" t="s">
        <v>605</v>
      </c>
      <c r="G73" s="34" t="s">
        <v>481</v>
      </c>
      <c r="H73" t="s">
        <v>669</v>
      </c>
      <c r="I73" s="34" t="s">
        <v>670</v>
      </c>
      <c r="J73" s="34" t="s">
        <v>671</v>
      </c>
    </row>
    <row r="74" spans="1:10">
      <c r="A74" t="s">
        <v>302</v>
      </c>
      <c r="B74" t="s">
        <v>302</v>
      </c>
      <c r="C74" s="34" t="s">
        <v>672</v>
      </c>
      <c r="D74" s="34" t="s">
        <v>673</v>
      </c>
      <c r="E74" s="34" t="s">
        <v>673</v>
      </c>
      <c r="F74" t="s">
        <v>514</v>
      </c>
      <c r="G74" s="34" t="s">
        <v>515</v>
      </c>
      <c r="H74" s="34" t="s">
        <v>492</v>
      </c>
      <c r="I74" s="34" t="s">
        <v>674</v>
      </c>
      <c r="J74" s="34" t="s">
        <v>494</v>
      </c>
    </row>
    <row r="75" spans="1:10">
      <c r="A75" t="s">
        <v>303</v>
      </c>
      <c r="B75" t="s">
        <v>303</v>
      </c>
      <c r="C75" s="34" t="s">
        <v>675</v>
      </c>
      <c r="D75" s="34" t="s">
        <v>676</v>
      </c>
      <c r="E75" s="34" t="s">
        <v>676</v>
      </c>
      <c r="F75" t="s">
        <v>66</v>
      </c>
      <c r="G75" s="34" t="s">
        <v>540</v>
      </c>
      <c r="H75" t="s">
        <v>477</v>
      </c>
      <c r="I75" s="34" t="s">
        <v>677</v>
      </c>
      <c r="J75" s="34" t="s">
        <v>678</v>
      </c>
    </row>
    <row r="76" spans="1:10">
      <c r="A76" t="s">
        <v>304</v>
      </c>
      <c r="B76" t="s">
        <v>304</v>
      </c>
      <c r="C76" s="34" t="s">
        <v>679</v>
      </c>
      <c r="D76" s="34" t="s">
        <v>618</v>
      </c>
      <c r="E76" s="34" t="s">
        <v>618</v>
      </c>
      <c r="F76" t="s">
        <v>605</v>
      </c>
      <c r="G76" s="34" t="s">
        <v>680</v>
      </c>
      <c r="H76" t="s">
        <v>624</v>
      </c>
      <c r="I76" s="34" t="s">
        <v>620</v>
      </c>
      <c r="J76" s="34" t="s">
        <v>621</v>
      </c>
    </row>
    <row r="77" spans="1:10">
      <c r="A77" t="s">
        <v>305</v>
      </c>
      <c r="B77" t="s">
        <v>305</v>
      </c>
      <c r="C77" s="34" t="s">
        <v>681</v>
      </c>
      <c r="D77" s="34" t="s">
        <v>682</v>
      </c>
      <c r="E77" s="34" t="s">
        <v>683</v>
      </c>
      <c r="F77" t="s">
        <v>392</v>
      </c>
      <c r="G77" s="34" t="s">
        <v>680</v>
      </c>
      <c r="H77" s="27" t="s">
        <v>392</v>
      </c>
      <c r="I77" s="34" t="s">
        <v>684</v>
      </c>
      <c r="J77" s="34" t="s">
        <v>685</v>
      </c>
    </row>
    <row r="78" spans="1:10">
      <c r="A78" t="s">
        <v>307</v>
      </c>
      <c r="B78" t="s">
        <v>307</v>
      </c>
      <c r="C78" s="34" t="s">
        <v>686</v>
      </c>
      <c r="D78" s="69" t="s">
        <v>687</v>
      </c>
      <c r="E78" s="34" t="s">
        <v>687</v>
      </c>
      <c r="F78" t="s">
        <v>392</v>
      </c>
      <c r="G78" s="34" t="s">
        <v>559</v>
      </c>
      <c r="H78" s="27" t="s">
        <v>392</v>
      </c>
      <c r="I78" s="34" t="s">
        <v>688</v>
      </c>
      <c r="J78" s="34" t="s">
        <v>689</v>
      </c>
    </row>
    <row r="79" spans="1:10">
      <c r="A79" t="s">
        <v>308</v>
      </c>
      <c r="B79" t="s">
        <v>308</v>
      </c>
      <c r="C79" t="s">
        <v>690</v>
      </c>
      <c r="D79" t="s">
        <v>691</v>
      </c>
      <c r="E79" t="s">
        <v>691</v>
      </c>
      <c r="F79" t="s">
        <v>82</v>
      </c>
      <c r="G79" t="s">
        <v>392</v>
      </c>
      <c r="H79" t="s">
        <v>538</v>
      </c>
      <c r="I79" t="s">
        <v>692</v>
      </c>
      <c r="J79" t="s">
        <v>564</v>
      </c>
    </row>
    <row r="80" spans="1:10">
      <c r="A80" t="s">
        <v>309</v>
      </c>
      <c r="B80" t="s">
        <v>309</v>
      </c>
      <c r="C80" t="s">
        <v>693</v>
      </c>
      <c r="D80" t="s">
        <v>693</v>
      </c>
      <c r="E80" t="s">
        <v>694</v>
      </c>
      <c r="F80" t="s">
        <v>514</v>
      </c>
      <c r="G80" t="s">
        <v>632</v>
      </c>
      <c r="H80" t="s">
        <v>492</v>
      </c>
      <c r="I80" s="34" t="s">
        <v>695</v>
      </c>
      <c r="J80" s="34" t="s">
        <v>696</v>
      </c>
    </row>
    <row r="81" spans="1:10">
      <c r="A81" t="s">
        <v>310</v>
      </c>
      <c r="B81" t="s">
        <v>310</v>
      </c>
      <c r="C81" s="34" t="s">
        <v>697</v>
      </c>
      <c r="D81" s="73" t="s">
        <v>693</v>
      </c>
      <c r="E81" t="s">
        <v>694</v>
      </c>
      <c r="F81" t="s">
        <v>605</v>
      </c>
      <c r="G81" s="34" t="s">
        <v>630</v>
      </c>
      <c r="H81" t="s">
        <v>471</v>
      </c>
      <c r="I81" s="35" t="s">
        <v>698</v>
      </c>
      <c r="J81" s="35" t="s">
        <v>699</v>
      </c>
    </row>
    <row r="82" spans="1:10">
      <c r="A82" t="s">
        <v>311</v>
      </c>
      <c r="B82" t="s">
        <v>311</v>
      </c>
      <c r="C82" s="34" t="s">
        <v>700</v>
      </c>
      <c r="D82" t="s">
        <v>701</v>
      </c>
      <c r="E82" s="34" t="s">
        <v>702</v>
      </c>
      <c r="F82" t="s">
        <v>514</v>
      </c>
      <c r="G82" s="34" t="s">
        <v>515</v>
      </c>
      <c r="H82" t="s">
        <v>471</v>
      </c>
      <c r="I82" s="34" t="s">
        <v>695</v>
      </c>
      <c r="J82" s="34" t="s">
        <v>696</v>
      </c>
    </row>
    <row r="83" spans="1:10">
      <c r="A83" t="s">
        <v>312</v>
      </c>
      <c r="B83" t="s">
        <v>312</v>
      </c>
      <c r="C83" s="34" t="s">
        <v>703</v>
      </c>
      <c r="D83" t="s">
        <v>704</v>
      </c>
      <c r="E83" s="34" t="s">
        <v>705</v>
      </c>
      <c r="F83" t="s">
        <v>524</v>
      </c>
      <c r="G83" s="34" t="s">
        <v>525</v>
      </c>
      <c r="H83" t="s">
        <v>471</v>
      </c>
      <c r="I83" s="34" t="s">
        <v>706</v>
      </c>
      <c r="J83" s="35" t="s">
        <v>699</v>
      </c>
    </row>
    <row r="84" spans="1:10">
      <c r="A84" t="s">
        <v>313</v>
      </c>
      <c r="B84" t="s">
        <v>313</v>
      </c>
      <c r="C84" s="34" t="s">
        <v>707</v>
      </c>
      <c r="D84" t="s">
        <v>708</v>
      </c>
      <c r="E84" s="34" t="s">
        <v>709</v>
      </c>
      <c r="F84" t="s">
        <v>542</v>
      </c>
      <c r="G84" s="34" t="s">
        <v>525</v>
      </c>
      <c r="H84" t="s">
        <v>471</v>
      </c>
      <c r="I84" s="34" t="s">
        <v>710</v>
      </c>
      <c r="J84" s="35" t="s">
        <v>699</v>
      </c>
    </row>
    <row r="85" spans="1:10">
      <c r="A85" t="s">
        <v>314</v>
      </c>
      <c r="B85" t="s">
        <v>314</v>
      </c>
      <c r="C85" s="34" t="s">
        <v>693</v>
      </c>
      <c r="D85" t="s">
        <v>693</v>
      </c>
      <c r="E85" t="s">
        <v>694</v>
      </c>
      <c r="F85" t="s">
        <v>605</v>
      </c>
      <c r="G85" s="34" t="s">
        <v>630</v>
      </c>
      <c r="H85" t="s">
        <v>471</v>
      </c>
      <c r="I85" s="35" t="s">
        <v>698</v>
      </c>
      <c r="J85" s="35" t="s">
        <v>699</v>
      </c>
    </row>
    <row r="86" spans="1:10">
      <c r="A86" t="s">
        <v>315</v>
      </c>
      <c r="B86" t="s">
        <v>315</v>
      </c>
      <c r="C86" s="34" t="s">
        <v>711</v>
      </c>
      <c r="D86" s="34" t="s">
        <v>712</v>
      </c>
      <c r="E86" s="34" t="s">
        <v>713</v>
      </c>
      <c r="F86" t="s">
        <v>392</v>
      </c>
      <c r="G86" s="34" t="s">
        <v>392</v>
      </c>
      <c r="H86" t="s">
        <v>466</v>
      </c>
      <c r="I86" s="34" t="s">
        <v>714</v>
      </c>
      <c r="J86" s="34" t="s">
        <v>497</v>
      </c>
    </row>
    <row r="87" spans="1:10">
      <c r="A87" t="s">
        <v>316</v>
      </c>
      <c r="B87" t="s">
        <v>316</v>
      </c>
      <c r="C87" s="34" t="s">
        <v>715</v>
      </c>
      <c r="D87" s="34" t="s">
        <v>716</v>
      </c>
      <c r="E87" s="34" t="s">
        <v>717</v>
      </c>
      <c r="F87" t="s">
        <v>605</v>
      </c>
      <c r="G87" s="34" t="s">
        <v>638</v>
      </c>
      <c r="H87" t="s">
        <v>471</v>
      </c>
      <c r="I87" s="34" t="s">
        <v>718</v>
      </c>
      <c r="J87" s="34" t="s">
        <v>719</v>
      </c>
    </row>
    <row r="88" spans="1:10">
      <c r="A88" t="s">
        <v>317</v>
      </c>
      <c r="B88" t="s">
        <v>317</v>
      </c>
      <c r="C88" s="34" t="s">
        <v>720</v>
      </c>
      <c r="D88" s="34" t="s">
        <v>721</v>
      </c>
      <c r="E88" s="34" t="s">
        <v>717</v>
      </c>
      <c r="F88" t="s">
        <v>605</v>
      </c>
      <c r="G88" s="34" t="s">
        <v>630</v>
      </c>
      <c r="H88" t="s">
        <v>471</v>
      </c>
      <c r="I88" s="34" t="s">
        <v>722</v>
      </c>
      <c r="J88" s="34" t="s">
        <v>723</v>
      </c>
    </row>
    <row r="89" spans="1:10">
      <c r="A89" t="s">
        <v>318</v>
      </c>
      <c r="B89" t="s">
        <v>318</v>
      </c>
      <c r="C89" s="34" t="s">
        <v>724</v>
      </c>
      <c r="D89" s="34" t="s">
        <v>724</v>
      </c>
      <c r="E89" s="34" t="s">
        <v>724</v>
      </c>
      <c r="F89" t="s">
        <v>66</v>
      </c>
      <c r="G89" s="34" t="s">
        <v>534</v>
      </c>
      <c r="H89" t="s">
        <v>535</v>
      </c>
      <c r="I89" s="34" t="s">
        <v>677</v>
      </c>
      <c r="J89" s="34" t="s">
        <v>725</v>
      </c>
    </row>
    <row r="90" spans="1:10">
      <c r="A90" t="s">
        <v>319</v>
      </c>
      <c r="B90" t="s">
        <v>319</v>
      </c>
      <c r="C90" s="34" t="s">
        <v>726</v>
      </c>
      <c r="D90" s="34" t="s">
        <v>726</v>
      </c>
      <c r="E90" s="34" t="s">
        <v>726</v>
      </c>
      <c r="F90" t="s">
        <v>66</v>
      </c>
      <c r="G90" s="34" t="s">
        <v>534</v>
      </c>
      <c r="H90" t="s">
        <v>535</v>
      </c>
      <c r="I90" s="34" t="s">
        <v>727</v>
      </c>
      <c r="J90" s="34" t="s">
        <v>678</v>
      </c>
    </row>
    <row r="91" spans="1:10">
      <c r="A91" t="s">
        <v>320</v>
      </c>
      <c r="B91" t="s">
        <v>320</v>
      </c>
      <c r="C91" s="34" t="s">
        <v>728</v>
      </c>
      <c r="D91" t="s">
        <v>729</v>
      </c>
      <c r="E91" s="69" t="s">
        <v>730</v>
      </c>
      <c r="F91" t="s">
        <v>67</v>
      </c>
      <c r="G91" s="34" t="s">
        <v>392</v>
      </c>
      <c r="H91" t="s">
        <v>538</v>
      </c>
      <c r="I91" s="34" t="s">
        <v>539</v>
      </c>
      <c r="J91" s="34" t="s">
        <v>497</v>
      </c>
    </row>
    <row r="92" spans="1:10">
      <c r="A92" t="s">
        <v>321</v>
      </c>
      <c r="B92" t="s">
        <v>321</v>
      </c>
      <c r="C92" t="s">
        <v>731</v>
      </c>
      <c r="D92" t="s">
        <v>732</v>
      </c>
      <c r="E92" t="s">
        <v>732</v>
      </c>
      <c r="F92" t="s">
        <v>68</v>
      </c>
      <c r="G92" t="s">
        <v>733</v>
      </c>
      <c r="H92" t="s">
        <v>68</v>
      </c>
      <c r="I92" t="s">
        <v>734</v>
      </c>
      <c r="J92" t="s">
        <v>551</v>
      </c>
    </row>
    <row r="93" spans="1:10">
      <c r="A93" t="s">
        <v>322</v>
      </c>
      <c r="B93" t="s">
        <v>322</v>
      </c>
      <c r="C93" t="s">
        <v>735</v>
      </c>
      <c r="D93" t="s">
        <v>736</v>
      </c>
      <c r="E93" s="34" t="s">
        <v>736</v>
      </c>
      <c r="F93" t="s">
        <v>514</v>
      </c>
      <c r="G93" t="s">
        <v>632</v>
      </c>
      <c r="H93" s="27" t="s">
        <v>492</v>
      </c>
      <c r="I93" s="34" t="s">
        <v>737</v>
      </c>
      <c r="J93" s="34" t="s">
        <v>634</v>
      </c>
    </row>
    <row r="94" spans="1:10">
      <c r="A94" t="s">
        <v>323</v>
      </c>
      <c r="B94" t="s">
        <v>323</v>
      </c>
      <c r="C94" s="34" t="s">
        <v>735</v>
      </c>
      <c r="D94" s="34" t="s">
        <v>736</v>
      </c>
      <c r="E94" s="34" t="s">
        <v>736</v>
      </c>
      <c r="F94" s="34" t="s">
        <v>605</v>
      </c>
      <c r="G94" s="34" t="s">
        <v>630</v>
      </c>
      <c r="H94" s="27" t="s">
        <v>630</v>
      </c>
      <c r="I94" s="34" t="s">
        <v>737</v>
      </c>
      <c r="J94" s="34" t="s">
        <v>634</v>
      </c>
    </row>
    <row r="95" spans="1:10">
      <c r="A95" t="s">
        <v>324</v>
      </c>
      <c r="B95" t="s">
        <v>324</v>
      </c>
      <c r="C95" s="34" t="s">
        <v>738</v>
      </c>
      <c r="D95" s="34" t="s">
        <v>738</v>
      </c>
      <c r="E95" s="34" t="s">
        <v>738</v>
      </c>
      <c r="F95" t="s">
        <v>68</v>
      </c>
      <c r="G95" s="34" t="s">
        <v>733</v>
      </c>
      <c r="H95" t="s">
        <v>68</v>
      </c>
      <c r="I95" s="34" t="s">
        <v>739</v>
      </c>
      <c r="J95" s="34" t="s">
        <v>551</v>
      </c>
    </row>
    <row r="96" spans="1:10">
      <c r="A96" t="s">
        <v>325</v>
      </c>
      <c r="B96" t="s">
        <v>325</v>
      </c>
      <c r="C96" t="s">
        <v>567</v>
      </c>
      <c r="D96" t="s">
        <v>568</v>
      </c>
      <c r="E96" t="s">
        <v>568</v>
      </c>
      <c r="F96" t="s">
        <v>605</v>
      </c>
      <c r="G96" s="34" t="s">
        <v>630</v>
      </c>
      <c r="H96" t="s">
        <v>630</v>
      </c>
      <c r="I96" t="s">
        <v>630</v>
      </c>
      <c r="J96" t="s">
        <v>630</v>
      </c>
    </row>
    <row r="97" spans="1:10">
      <c r="A97" t="s">
        <v>326</v>
      </c>
      <c r="B97" t="s">
        <v>326</v>
      </c>
      <c r="C97" t="s">
        <v>740</v>
      </c>
      <c r="D97" s="34" t="s">
        <v>741</v>
      </c>
      <c r="E97" s="34" t="s">
        <v>741</v>
      </c>
      <c r="F97" s="34" t="s">
        <v>605</v>
      </c>
      <c r="G97" s="34" t="s">
        <v>630</v>
      </c>
      <c r="H97" s="27" t="s">
        <v>630</v>
      </c>
      <c r="I97" s="34" t="s">
        <v>742</v>
      </c>
      <c r="J97" s="34" t="s">
        <v>634</v>
      </c>
    </row>
    <row r="98" spans="1:10">
      <c r="A98" t="s">
        <v>327</v>
      </c>
      <c r="B98" t="s">
        <v>327</v>
      </c>
      <c r="C98" s="34" t="s">
        <v>743</v>
      </c>
      <c r="D98" s="34" t="s">
        <v>744</v>
      </c>
      <c r="E98" s="34" t="s">
        <v>744</v>
      </c>
      <c r="F98" s="34" t="s">
        <v>56</v>
      </c>
      <c r="G98" s="34" t="s">
        <v>638</v>
      </c>
      <c r="H98" t="s">
        <v>508</v>
      </c>
      <c r="I98" s="34" t="s">
        <v>745</v>
      </c>
      <c r="J98" s="34" t="s">
        <v>746</v>
      </c>
    </row>
    <row r="99" spans="1:10">
      <c r="A99" t="s">
        <v>328</v>
      </c>
      <c r="B99" t="s">
        <v>328</v>
      </c>
      <c r="C99" s="34" t="s">
        <v>747</v>
      </c>
      <c r="D99" s="34" t="s">
        <v>748</v>
      </c>
      <c r="E99" s="34" t="s">
        <v>748</v>
      </c>
      <c r="F99" s="34" t="s">
        <v>82</v>
      </c>
      <c r="G99" s="34" t="s">
        <v>749</v>
      </c>
      <c r="H99" s="34" t="s">
        <v>538</v>
      </c>
      <c r="I99" s="34" t="s">
        <v>750</v>
      </c>
      <c r="J99" s="34" t="s">
        <v>564</v>
      </c>
    </row>
    <row r="100" spans="1:10">
      <c r="A100" t="s">
        <v>329</v>
      </c>
      <c r="B100" t="s">
        <v>329</v>
      </c>
      <c r="C100" s="34" t="s">
        <v>747</v>
      </c>
      <c r="D100" s="34" t="s">
        <v>751</v>
      </c>
      <c r="E100" s="34" t="s">
        <v>751</v>
      </c>
      <c r="F100" s="34" t="s">
        <v>82</v>
      </c>
      <c r="G100" s="34" t="s">
        <v>749</v>
      </c>
      <c r="H100" s="34" t="s">
        <v>538</v>
      </c>
      <c r="I100" s="34" t="s">
        <v>752</v>
      </c>
      <c r="J100" s="34" t="s">
        <v>564</v>
      </c>
    </row>
    <row r="101" spans="1:10">
      <c r="A101" t="s">
        <v>330</v>
      </c>
      <c r="B101" t="s">
        <v>330</v>
      </c>
      <c r="C101" s="34" t="s">
        <v>753</v>
      </c>
      <c r="D101" s="34" t="s">
        <v>754</v>
      </c>
      <c r="E101" s="34" t="s">
        <v>754</v>
      </c>
      <c r="F101" t="s">
        <v>464</v>
      </c>
      <c r="G101" s="34" t="s">
        <v>465</v>
      </c>
      <c r="H101" t="s">
        <v>466</v>
      </c>
      <c r="I101" s="34" t="s">
        <v>467</v>
      </c>
      <c r="J101" s="34" t="s">
        <v>468</v>
      </c>
    </row>
    <row r="102" spans="1:10" s="25" customFormat="1" ht="13.5" thickBot="1">
      <c r="A102" s="25" t="s">
        <v>331</v>
      </c>
      <c r="B102" s="25" t="s">
        <v>331</v>
      </c>
      <c r="C102" s="223" t="s">
        <v>628</v>
      </c>
      <c r="D102" s="223" t="s">
        <v>629</v>
      </c>
      <c r="E102" s="25" t="s">
        <v>755</v>
      </c>
      <c r="F102" s="25" t="s">
        <v>84</v>
      </c>
      <c r="G102" s="223" t="s">
        <v>565</v>
      </c>
      <c r="H102" s="223" t="s">
        <v>466</v>
      </c>
      <c r="I102" s="223" t="s">
        <v>756</v>
      </c>
      <c r="J102" s="223" t="s">
        <v>757</v>
      </c>
    </row>
    <row r="103" spans="1:10">
      <c r="A103" t="s">
        <v>332</v>
      </c>
      <c r="B103" t="s">
        <v>332</v>
      </c>
      <c r="C103" t="s">
        <v>255</v>
      </c>
      <c r="D103" t="s">
        <v>547</v>
      </c>
      <c r="E103" t="s">
        <v>255</v>
      </c>
      <c r="F103" t="s">
        <v>514</v>
      </c>
      <c r="G103" s="34" t="s">
        <v>632</v>
      </c>
      <c r="H103" s="34" t="s">
        <v>492</v>
      </c>
      <c r="I103" t="s">
        <v>758</v>
      </c>
      <c r="J103" t="s">
        <v>759</v>
      </c>
    </row>
    <row r="104" spans="1:10">
      <c r="A104" t="s">
        <v>333</v>
      </c>
      <c r="B104" t="s">
        <v>333</v>
      </c>
      <c r="C104" t="s">
        <v>720</v>
      </c>
      <c r="D104" t="s">
        <v>721</v>
      </c>
      <c r="E104" t="s">
        <v>717</v>
      </c>
      <c r="F104" t="s">
        <v>514</v>
      </c>
      <c r="G104" s="34" t="s">
        <v>632</v>
      </c>
      <c r="H104" s="34" t="s">
        <v>492</v>
      </c>
      <c r="I104" t="s">
        <v>722</v>
      </c>
      <c r="J104" t="s">
        <v>723</v>
      </c>
    </row>
    <row r="105" spans="1:10">
      <c r="A105" t="s">
        <v>334</v>
      </c>
      <c r="B105" t="s">
        <v>334</v>
      </c>
      <c r="C105" s="34" t="s">
        <v>760</v>
      </c>
      <c r="D105" s="34" t="s">
        <v>761</v>
      </c>
      <c r="E105" s="34" t="s">
        <v>761</v>
      </c>
      <c r="F105" s="34" t="s">
        <v>37</v>
      </c>
      <c r="G105" s="34" t="s">
        <v>470</v>
      </c>
      <c r="H105" t="s">
        <v>471</v>
      </c>
      <c r="I105" s="34" t="s">
        <v>762</v>
      </c>
      <c r="J105" s="34" t="s">
        <v>574</v>
      </c>
    </row>
    <row r="106" spans="1:10">
      <c r="A106" t="s">
        <v>335</v>
      </c>
      <c r="B106" t="s">
        <v>335</v>
      </c>
      <c r="C106" s="34" t="s">
        <v>763</v>
      </c>
      <c r="D106" s="34" t="s">
        <v>764</v>
      </c>
      <c r="E106" s="34" t="s">
        <v>764</v>
      </c>
      <c r="F106" s="34" t="s">
        <v>514</v>
      </c>
      <c r="G106" s="34" t="s">
        <v>491</v>
      </c>
      <c r="H106" t="s">
        <v>492</v>
      </c>
      <c r="I106" s="34" t="s">
        <v>530</v>
      </c>
      <c r="J106" s="34" t="s">
        <v>759</v>
      </c>
    </row>
    <row r="107" spans="1:10">
      <c r="A107" t="s">
        <v>336</v>
      </c>
      <c r="B107" t="s">
        <v>336</v>
      </c>
      <c r="C107" s="34" t="s">
        <v>765</v>
      </c>
      <c r="D107" s="34" t="s">
        <v>766</v>
      </c>
      <c r="E107" s="34" t="s">
        <v>766</v>
      </c>
      <c r="F107" s="34" t="s">
        <v>50</v>
      </c>
      <c r="G107" s="34" t="s">
        <v>500</v>
      </c>
      <c r="H107" t="s">
        <v>492</v>
      </c>
      <c r="I107" s="34" t="s">
        <v>530</v>
      </c>
      <c r="J107" s="34" t="s">
        <v>759</v>
      </c>
    </row>
    <row r="108" spans="1:10">
      <c r="A108" t="s">
        <v>337</v>
      </c>
      <c r="B108" t="s">
        <v>337</v>
      </c>
      <c r="C108" s="34" t="s">
        <v>767</v>
      </c>
      <c r="D108" s="34" t="s">
        <v>768</v>
      </c>
      <c r="E108" t="s">
        <v>768</v>
      </c>
      <c r="F108" s="34" t="s">
        <v>49</v>
      </c>
      <c r="G108" s="34" t="s">
        <v>496</v>
      </c>
      <c r="H108" t="s">
        <v>471</v>
      </c>
      <c r="I108" s="34" t="s">
        <v>769</v>
      </c>
      <c r="J108" s="34" t="s">
        <v>503</v>
      </c>
    </row>
    <row r="109" spans="1:10">
      <c r="A109" t="s">
        <v>338</v>
      </c>
      <c r="B109" t="s">
        <v>338</v>
      </c>
      <c r="C109" s="34" t="s">
        <v>770</v>
      </c>
      <c r="D109" t="s">
        <v>771</v>
      </c>
      <c r="E109" s="34" t="s">
        <v>771</v>
      </c>
      <c r="F109" s="34" t="s">
        <v>49</v>
      </c>
      <c r="G109" s="34" t="s">
        <v>496</v>
      </c>
      <c r="H109" t="s">
        <v>471</v>
      </c>
      <c r="I109" s="34" t="s">
        <v>772</v>
      </c>
      <c r="J109" s="34" t="s">
        <v>503</v>
      </c>
    </row>
    <row r="110" spans="1:10">
      <c r="A110" t="s">
        <v>339</v>
      </c>
      <c r="B110" t="s">
        <v>339</v>
      </c>
      <c r="C110" s="34" t="s">
        <v>773</v>
      </c>
      <c r="D110" s="34" t="s">
        <v>774</v>
      </c>
      <c r="E110" s="34" t="s">
        <v>774</v>
      </c>
      <c r="F110" s="34" t="s">
        <v>56</v>
      </c>
      <c r="G110" s="34" t="s">
        <v>638</v>
      </c>
      <c r="H110" t="s">
        <v>508</v>
      </c>
      <c r="I110" s="34" t="s">
        <v>775</v>
      </c>
      <c r="J110" s="34" t="s">
        <v>746</v>
      </c>
    </row>
    <row r="111" spans="1:10">
      <c r="A111" t="s">
        <v>340</v>
      </c>
      <c r="B111" t="s">
        <v>340</v>
      </c>
      <c r="C111" s="34" t="s">
        <v>776</v>
      </c>
      <c r="D111" s="34" t="s">
        <v>777</v>
      </c>
      <c r="E111" s="34" t="s">
        <v>777</v>
      </c>
      <c r="F111" s="34" t="s">
        <v>56</v>
      </c>
      <c r="G111" s="34" t="s">
        <v>638</v>
      </c>
      <c r="H111" t="s">
        <v>508</v>
      </c>
      <c r="I111" s="34" t="s">
        <v>778</v>
      </c>
      <c r="J111" s="34" t="s">
        <v>746</v>
      </c>
    </row>
    <row r="112" spans="1:10">
      <c r="A112" t="s">
        <v>341</v>
      </c>
      <c r="B112" t="s">
        <v>341</v>
      </c>
      <c r="C112" t="s">
        <v>743</v>
      </c>
      <c r="D112" t="s">
        <v>744</v>
      </c>
      <c r="E112" t="s">
        <v>744</v>
      </c>
      <c r="F112" s="34" t="s">
        <v>56</v>
      </c>
      <c r="G112" s="34" t="s">
        <v>638</v>
      </c>
      <c r="H112" t="s">
        <v>508</v>
      </c>
      <c r="I112" t="s">
        <v>745</v>
      </c>
      <c r="J112" s="34" t="s">
        <v>746</v>
      </c>
    </row>
    <row r="113" spans="1:10">
      <c r="A113" t="s">
        <v>342</v>
      </c>
      <c r="B113" t="s">
        <v>342</v>
      </c>
      <c r="C113" s="34" t="s">
        <v>779</v>
      </c>
      <c r="D113" s="34" t="s">
        <v>780</v>
      </c>
      <c r="E113" s="34" t="s">
        <v>780</v>
      </c>
      <c r="F113" s="34" t="s">
        <v>56</v>
      </c>
      <c r="G113" s="34" t="s">
        <v>638</v>
      </c>
      <c r="H113" t="s">
        <v>508</v>
      </c>
      <c r="I113" s="34" t="s">
        <v>781</v>
      </c>
      <c r="J113" s="34" t="s">
        <v>746</v>
      </c>
    </row>
    <row r="114" spans="1:10">
      <c r="A114" t="s">
        <v>343</v>
      </c>
      <c r="B114" t="s">
        <v>343</v>
      </c>
      <c r="C114" s="34" t="s">
        <v>782</v>
      </c>
      <c r="D114" s="34" t="s">
        <v>783</v>
      </c>
      <c r="E114" s="34" t="s">
        <v>783</v>
      </c>
      <c r="F114" s="34" t="s">
        <v>56</v>
      </c>
      <c r="G114" s="34" t="s">
        <v>638</v>
      </c>
      <c r="H114" t="s">
        <v>508</v>
      </c>
      <c r="I114" s="34" t="s">
        <v>734</v>
      </c>
      <c r="J114" s="34" t="s">
        <v>746</v>
      </c>
    </row>
    <row r="115" spans="1:10">
      <c r="A115" t="s">
        <v>344</v>
      </c>
      <c r="B115" t="s">
        <v>344</v>
      </c>
      <c r="C115" s="34" t="s">
        <v>784</v>
      </c>
      <c r="D115" s="34" t="s">
        <v>785</v>
      </c>
      <c r="E115" s="34" t="s">
        <v>785</v>
      </c>
      <c r="F115" s="34" t="s">
        <v>56</v>
      </c>
      <c r="G115" s="34" t="s">
        <v>638</v>
      </c>
      <c r="H115" t="s">
        <v>508</v>
      </c>
      <c r="I115" s="34" t="s">
        <v>775</v>
      </c>
      <c r="J115" s="34" t="s">
        <v>746</v>
      </c>
    </row>
    <row r="116" spans="1:10">
      <c r="A116" t="s">
        <v>345</v>
      </c>
      <c r="B116" t="s">
        <v>345</v>
      </c>
      <c r="C116" s="34" t="s">
        <v>786</v>
      </c>
      <c r="D116" s="34" t="s">
        <v>787</v>
      </c>
      <c r="E116" t="s">
        <v>787</v>
      </c>
      <c r="F116" s="34" t="s">
        <v>56</v>
      </c>
      <c r="G116" s="34" t="s">
        <v>638</v>
      </c>
      <c r="H116" t="s">
        <v>508</v>
      </c>
      <c r="I116" s="34" t="s">
        <v>781</v>
      </c>
      <c r="J116" s="34" t="s">
        <v>746</v>
      </c>
    </row>
    <row r="117" spans="1:10">
      <c r="A117" t="s">
        <v>346</v>
      </c>
      <c r="B117" t="s">
        <v>346</v>
      </c>
      <c r="C117" s="34" t="s">
        <v>788</v>
      </c>
      <c r="D117" s="34" t="s">
        <v>789</v>
      </c>
      <c r="E117" t="s">
        <v>789</v>
      </c>
      <c r="F117" s="34" t="s">
        <v>56</v>
      </c>
      <c r="G117" s="34" t="s">
        <v>638</v>
      </c>
      <c r="H117" t="s">
        <v>508</v>
      </c>
      <c r="I117" s="34" t="s">
        <v>790</v>
      </c>
      <c r="J117" s="34" t="s">
        <v>746</v>
      </c>
    </row>
    <row r="118" spans="1:10">
      <c r="A118" t="s">
        <v>347</v>
      </c>
      <c r="B118" t="s">
        <v>347</v>
      </c>
      <c r="C118" s="34" t="s">
        <v>791</v>
      </c>
      <c r="D118" s="34" t="s">
        <v>792</v>
      </c>
      <c r="E118" s="34" t="s">
        <v>792</v>
      </c>
      <c r="F118" s="34" t="s">
        <v>56</v>
      </c>
      <c r="G118" s="34" t="s">
        <v>638</v>
      </c>
      <c r="H118" t="s">
        <v>508</v>
      </c>
      <c r="I118" s="34" t="s">
        <v>793</v>
      </c>
      <c r="J118" s="34" t="s">
        <v>746</v>
      </c>
    </row>
    <row r="119" spans="1:10">
      <c r="A119" t="s">
        <v>348</v>
      </c>
      <c r="B119" t="s">
        <v>348</v>
      </c>
      <c r="C119" s="34" t="s">
        <v>794</v>
      </c>
      <c r="D119" s="34" t="s">
        <v>795</v>
      </c>
      <c r="E119" s="34" t="s">
        <v>795</v>
      </c>
      <c r="F119" s="34" t="s">
        <v>59</v>
      </c>
      <c r="G119" s="34" t="s">
        <v>516</v>
      </c>
      <c r="H119" t="s">
        <v>471</v>
      </c>
      <c r="I119" s="34" t="s">
        <v>796</v>
      </c>
      <c r="J119" s="34" t="s">
        <v>797</v>
      </c>
    </row>
    <row r="120" spans="1:10">
      <c r="A120" t="s">
        <v>349</v>
      </c>
      <c r="B120" t="s">
        <v>349</v>
      </c>
      <c r="C120" s="34" t="s">
        <v>798</v>
      </c>
      <c r="D120" s="34" t="s">
        <v>799</v>
      </c>
      <c r="E120" s="34" t="s">
        <v>799</v>
      </c>
      <c r="F120" s="34" t="s">
        <v>59</v>
      </c>
      <c r="G120" s="34" t="s">
        <v>516</v>
      </c>
      <c r="H120" t="s">
        <v>471</v>
      </c>
      <c r="I120" s="34" t="s">
        <v>799</v>
      </c>
      <c r="J120" s="34" t="s">
        <v>800</v>
      </c>
    </row>
    <row r="121" spans="1:10">
      <c r="A121" t="s">
        <v>350</v>
      </c>
      <c r="B121" t="s">
        <v>350</v>
      </c>
      <c r="C121" s="34" t="s">
        <v>801</v>
      </c>
      <c r="D121" s="34" t="s">
        <v>802</v>
      </c>
      <c r="E121" s="34" t="s">
        <v>802</v>
      </c>
      <c r="F121" s="34" t="s">
        <v>60</v>
      </c>
      <c r="G121" s="34" t="s">
        <v>520</v>
      </c>
      <c r="H121" t="s">
        <v>466</v>
      </c>
      <c r="I121" s="34" t="s">
        <v>803</v>
      </c>
      <c r="J121" s="34" t="s">
        <v>757</v>
      </c>
    </row>
    <row r="122" spans="1:10">
      <c r="A122" t="s">
        <v>351</v>
      </c>
      <c r="B122" t="s">
        <v>351</v>
      </c>
      <c r="C122" s="34" t="s">
        <v>647</v>
      </c>
      <c r="D122" s="34" t="s">
        <v>648</v>
      </c>
      <c r="E122" s="34" t="s">
        <v>648</v>
      </c>
      <c r="F122" s="34" t="s">
        <v>60</v>
      </c>
      <c r="G122" s="34" t="s">
        <v>520</v>
      </c>
      <c r="H122" t="s">
        <v>466</v>
      </c>
      <c r="I122" s="34" t="s">
        <v>804</v>
      </c>
      <c r="J122" s="34" t="s">
        <v>522</v>
      </c>
    </row>
    <row r="123" spans="1:10">
      <c r="A123" t="s">
        <v>352</v>
      </c>
      <c r="B123" t="s">
        <v>352</v>
      </c>
      <c r="C123" s="34" t="s">
        <v>805</v>
      </c>
      <c r="D123" s="69" t="s">
        <v>806</v>
      </c>
      <c r="E123" s="69" t="s">
        <v>806</v>
      </c>
      <c r="F123" s="34" t="s">
        <v>60</v>
      </c>
      <c r="G123" s="34" t="s">
        <v>520</v>
      </c>
      <c r="H123" t="s">
        <v>466</v>
      </c>
      <c r="I123" s="34" t="s">
        <v>803</v>
      </c>
      <c r="J123" s="34" t="s">
        <v>522</v>
      </c>
    </row>
    <row r="124" spans="1:10">
      <c r="A124" t="s">
        <v>353</v>
      </c>
      <c r="B124" t="s">
        <v>353</v>
      </c>
      <c r="C124" s="34" t="s">
        <v>807</v>
      </c>
      <c r="D124" s="34" t="s">
        <v>806</v>
      </c>
      <c r="E124" s="34" t="s">
        <v>806</v>
      </c>
      <c r="F124" s="34" t="s">
        <v>60</v>
      </c>
      <c r="G124" s="34" t="s">
        <v>520</v>
      </c>
      <c r="H124" t="s">
        <v>466</v>
      </c>
      <c r="I124" s="34" t="s">
        <v>803</v>
      </c>
      <c r="J124" s="34" t="s">
        <v>522</v>
      </c>
    </row>
    <row r="125" spans="1:10">
      <c r="A125" t="s">
        <v>354</v>
      </c>
      <c r="B125" t="s">
        <v>354</v>
      </c>
      <c r="C125" s="34" t="s">
        <v>808</v>
      </c>
      <c r="D125" s="34" t="s">
        <v>809</v>
      </c>
      <c r="E125" s="34" t="s">
        <v>809</v>
      </c>
      <c r="F125" s="34" t="s">
        <v>60</v>
      </c>
      <c r="G125" s="34" t="s">
        <v>520</v>
      </c>
      <c r="H125" t="s">
        <v>466</v>
      </c>
      <c r="I125" s="34" t="s">
        <v>803</v>
      </c>
      <c r="J125" s="34" t="s">
        <v>522</v>
      </c>
    </row>
    <row r="126" spans="1:10">
      <c r="A126" t="s">
        <v>355</v>
      </c>
      <c r="B126" t="s">
        <v>355</v>
      </c>
      <c r="C126" s="34" t="s">
        <v>810</v>
      </c>
      <c r="D126" s="34" t="s">
        <v>811</v>
      </c>
      <c r="E126" s="34" t="s">
        <v>811</v>
      </c>
      <c r="F126" s="34" t="s">
        <v>532</v>
      </c>
      <c r="G126" s="34" t="s">
        <v>525</v>
      </c>
      <c r="H126" t="s">
        <v>471</v>
      </c>
      <c r="I126" s="34" t="s">
        <v>812</v>
      </c>
      <c r="J126" s="34" t="s">
        <v>533</v>
      </c>
    </row>
    <row r="127" spans="1:10">
      <c r="A127" t="s">
        <v>356</v>
      </c>
      <c r="B127" t="s">
        <v>356</v>
      </c>
      <c r="C127" s="34" t="s">
        <v>813</v>
      </c>
      <c r="D127" s="34" t="s">
        <v>814</v>
      </c>
      <c r="E127" s="34" t="s">
        <v>814</v>
      </c>
      <c r="F127" s="34" t="s">
        <v>532</v>
      </c>
      <c r="G127" s="34" t="s">
        <v>565</v>
      </c>
      <c r="H127" t="s">
        <v>466</v>
      </c>
      <c r="I127" s="34" t="s">
        <v>814</v>
      </c>
      <c r="J127" s="34" t="s">
        <v>564</v>
      </c>
    </row>
    <row r="128" spans="1:10">
      <c r="A128" t="s">
        <v>357</v>
      </c>
      <c r="B128" t="s">
        <v>357</v>
      </c>
      <c r="C128" t="s">
        <v>815</v>
      </c>
      <c r="D128" t="s">
        <v>816</v>
      </c>
      <c r="E128" t="s">
        <v>817</v>
      </c>
      <c r="F128" s="34" t="s">
        <v>73</v>
      </c>
      <c r="G128" t="s">
        <v>476</v>
      </c>
      <c r="H128" t="s">
        <v>517</v>
      </c>
      <c r="I128" t="s">
        <v>803</v>
      </c>
      <c r="J128" t="s">
        <v>536</v>
      </c>
    </row>
    <row r="129" spans="1:10">
      <c r="A129" t="s">
        <v>358</v>
      </c>
      <c r="B129" t="s">
        <v>358</v>
      </c>
      <c r="C129" s="34" t="s">
        <v>818</v>
      </c>
      <c r="D129" s="34" t="s">
        <v>819</v>
      </c>
      <c r="E129" s="34" t="s">
        <v>819</v>
      </c>
      <c r="F129" s="34" t="s">
        <v>74</v>
      </c>
      <c r="G129" s="34" t="s">
        <v>548</v>
      </c>
      <c r="H129" t="s">
        <v>471</v>
      </c>
      <c r="I129" s="34" t="s">
        <v>596</v>
      </c>
      <c r="J129" s="34" t="s">
        <v>597</v>
      </c>
    </row>
    <row r="130" spans="1:10">
      <c r="A130" t="s">
        <v>359</v>
      </c>
      <c r="B130" t="s">
        <v>359</v>
      </c>
      <c r="C130" s="34" t="s">
        <v>820</v>
      </c>
      <c r="D130" s="34" t="s">
        <v>821</v>
      </c>
      <c r="E130" s="34" t="s">
        <v>821</v>
      </c>
      <c r="F130" s="34" t="s">
        <v>74</v>
      </c>
      <c r="G130" s="34" t="s">
        <v>548</v>
      </c>
      <c r="H130" t="s">
        <v>471</v>
      </c>
      <c r="I130" s="34" t="s">
        <v>822</v>
      </c>
      <c r="J130" s="34" t="s">
        <v>597</v>
      </c>
    </row>
    <row r="131" spans="1:10">
      <c r="A131" t="s">
        <v>360</v>
      </c>
      <c r="B131" t="s">
        <v>360</v>
      </c>
      <c r="C131" s="34" t="s">
        <v>823</v>
      </c>
      <c r="D131" s="34" t="s">
        <v>712</v>
      </c>
      <c r="E131" s="34" t="s">
        <v>713</v>
      </c>
      <c r="F131" s="34" t="s">
        <v>68</v>
      </c>
      <c r="G131" s="34" t="s">
        <v>824</v>
      </c>
      <c r="H131" t="s">
        <v>466</v>
      </c>
      <c r="I131" s="34" t="s">
        <v>714</v>
      </c>
      <c r="J131" s="34" t="s">
        <v>551</v>
      </c>
    </row>
    <row r="132" spans="1:10">
      <c r="A132" t="s">
        <v>361</v>
      </c>
      <c r="B132" t="s">
        <v>361</v>
      </c>
      <c r="C132" t="s">
        <v>825</v>
      </c>
      <c r="D132" t="s">
        <v>826</v>
      </c>
      <c r="E132" t="s">
        <v>826</v>
      </c>
      <c r="F132" s="34" t="s">
        <v>68</v>
      </c>
      <c r="G132" t="s">
        <v>827</v>
      </c>
      <c r="H132" t="s">
        <v>68</v>
      </c>
      <c r="I132" t="s">
        <v>828</v>
      </c>
      <c r="J132" t="s">
        <v>609</v>
      </c>
    </row>
    <row r="133" spans="1:10">
      <c r="A133" t="s">
        <v>362</v>
      </c>
      <c r="B133" t="s">
        <v>362</v>
      </c>
      <c r="C133" s="34" t="s">
        <v>829</v>
      </c>
      <c r="D133" s="69" t="s">
        <v>830</v>
      </c>
      <c r="E133" s="34" t="s">
        <v>830</v>
      </c>
      <c r="F133" s="34" t="s">
        <v>79</v>
      </c>
      <c r="G133" s="34" t="s">
        <v>496</v>
      </c>
      <c r="H133" t="s">
        <v>471</v>
      </c>
      <c r="I133" s="34" t="s">
        <v>772</v>
      </c>
      <c r="J133" s="34" t="s">
        <v>503</v>
      </c>
    </row>
    <row r="134" spans="1:10">
      <c r="A134" t="s">
        <v>363</v>
      </c>
      <c r="B134" t="s">
        <v>363</v>
      </c>
      <c r="C134" s="34" t="s">
        <v>831</v>
      </c>
      <c r="D134" s="69" t="s">
        <v>830</v>
      </c>
      <c r="E134" s="34" t="s">
        <v>830</v>
      </c>
      <c r="F134" s="34" t="s">
        <v>79</v>
      </c>
      <c r="G134" s="34" t="s">
        <v>496</v>
      </c>
      <c r="H134" t="s">
        <v>471</v>
      </c>
      <c r="I134" s="34" t="s">
        <v>832</v>
      </c>
      <c r="J134" s="34" t="s">
        <v>503</v>
      </c>
    </row>
    <row r="135" spans="1:10">
      <c r="A135" t="s">
        <v>364</v>
      </c>
      <c r="B135" t="s">
        <v>364</v>
      </c>
      <c r="C135" s="34" t="s">
        <v>833</v>
      </c>
      <c r="D135" s="69" t="s">
        <v>830</v>
      </c>
      <c r="E135" s="34" t="s">
        <v>830</v>
      </c>
      <c r="F135" s="34" t="s">
        <v>79</v>
      </c>
      <c r="G135" s="34" t="s">
        <v>496</v>
      </c>
      <c r="H135" t="s">
        <v>471</v>
      </c>
      <c r="I135" s="34" t="s">
        <v>832</v>
      </c>
      <c r="J135" s="34" t="s">
        <v>503</v>
      </c>
    </row>
    <row r="136" spans="1:10">
      <c r="A136" t="s">
        <v>365</v>
      </c>
      <c r="B136" t="s">
        <v>365</v>
      </c>
      <c r="C136" s="34" t="s">
        <v>834</v>
      </c>
      <c r="D136" s="69" t="s">
        <v>830</v>
      </c>
      <c r="E136" s="34" t="s">
        <v>830</v>
      </c>
      <c r="F136" s="34" t="s">
        <v>79</v>
      </c>
      <c r="G136" s="34" t="s">
        <v>496</v>
      </c>
      <c r="H136" t="s">
        <v>471</v>
      </c>
      <c r="I136" s="34" t="s">
        <v>832</v>
      </c>
      <c r="J136" s="34" t="s">
        <v>503</v>
      </c>
    </row>
    <row r="137" spans="1:10">
      <c r="A137" t="s">
        <v>366</v>
      </c>
      <c r="B137" t="s">
        <v>366</v>
      </c>
      <c r="C137" s="34" t="s">
        <v>835</v>
      </c>
      <c r="D137" s="34" t="s">
        <v>836</v>
      </c>
      <c r="E137" s="34" t="s">
        <v>836</v>
      </c>
      <c r="F137" s="34" t="s">
        <v>81</v>
      </c>
      <c r="G137" s="34" t="s">
        <v>837</v>
      </c>
      <c r="H137" s="34" t="s">
        <v>471</v>
      </c>
      <c r="I137" s="34" t="s">
        <v>838</v>
      </c>
      <c r="J137" s="34" t="s">
        <v>561</v>
      </c>
    </row>
    <row r="138" spans="1:10">
      <c r="A138" t="s">
        <v>367</v>
      </c>
      <c r="B138" t="s">
        <v>367</v>
      </c>
      <c r="C138" s="34" t="s">
        <v>839</v>
      </c>
      <c r="D138" s="34" t="s">
        <v>840</v>
      </c>
      <c r="E138" s="34" t="s">
        <v>840</v>
      </c>
      <c r="F138" s="34" t="s">
        <v>81</v>
      </c>
      <c r="G138" s="34" t="s">
        <v>837</v>
      </c>
      <c r="H138" s="34" t="s">
        <v>471</v>
      </c>
      <c r="I138" s="34" t="s">
        <v>560</v>
      </c>
      <c r="J138" s="34" t="s">
        <v>561</v>
      </c>
    </row>
    <row r="139" spans="1:10">
      <c r="A139" t="s">
        <v>368</v>
      </c>
      <c r="B139" t="s">
        <v>368</v>
      </c>
      <c r="C139" s="34" t="s">
        <v>841</v>
      </c>
      <c r="D139" s="34" t="s">
        <v>842</v>
      </c>
      <c r="E139" s="34" t="s">
        <v>842</v>
      </c>
      <c r="F139" s="34" t="s">
        <v>81</v>
      </c>
      <c r="G139" s="34" t="s">
        <v>837</v>
      </c>
      <c r="H139" s="34" t="s">
        <v>471</v>
      </c>
      <c r="I139" s="34" t="s">
        <v>843</v>
      </c>
      <c r="J139" s="34" t="s">
        <v>561</v>
      </c>
    </row>
    <row r="140" spans="1:10">
      <c r="A140" t="s">
        <v>369</v>
      </c>
      <c r="B140" t="s">
        <v>369</v>
      </c>
      <c r="C140" s="34" t="s">
        <v>690</v>
      </c>
      <c r="D140" s="34" t="s">
        <v>691</v>
      </c>
      <c r="E140" s="34" t="s">
        <v>691</v>
      </c>
      <c r="F140" s="34" t="s">
        <v>82</v>
      </c>
      <c r="G140" s="34" t="s">
        <v>749</v>
      </c>
      <c r="H140" s="34" t="s">
        <v>538</v>
      </c>
      <c r="I140" s="34" t="s">
        <v>692</v>
      </c>
      <c r="J140" s="34" t="s">
        <v>564</v>
      </c>
    </row>
    <row r="141" spans="1:10">
      <c r="A141" t="s">
        <v>370</v>
      </c>
      <c r="B141" t="s">
        <v>370</v>
      </c>
      <c r="C141" s="34" t="s">
        <v>844</v>
      </c>
      <c r="D141" s="34" t="s">
        <v>845</v>
      </c>
      <c r="E141" s="34" t="s">
        <v>845</v>
      </c>
      <c r="F141" s="34" t="s">
        <v>82</v>
      </c>
      <c r="G141" s="34" t="s">
        <v>749</v>
      </c>
      <c r="H141" s="34" t="s">
        <v>538</v>
      </c>
      <c r="I141" s="34" t="s">
        <v>846</v>
      </c>
      <c r="J141" s="34" t="s">
        <v>564</v>
      </c>
    </row>
    <row r="143" spans="1:10" ht="13.5" customHeight="1"/>
    <row r="147" spans="2:6">
      <c r="B147" s="45"/>
      <c r="C147" s="45" t="s">
        <v>847</v>
      </c>
      <c r="D147" s="70" t="s">
        <v>848</v>
      </c>
      <c r="E147" s="70" t="s">
        <v>848</v>
      </c>
      <c r="F147" s="70"/>
    </row>
    <row r="148" spans="2:6">
      <c r="B148" s="27"/>
      <c r="C148" s="34" t="s">
        <v>849</v>
      </c>
      <c r="D148" s="34" t="s">
        <v>850</v>
      </c>
      <c r="E148" t="s">
        <v>851</v>
      </c>
    </row>
    <row r="149" spans="2:6">
      <c r="D149" s="34" t="s">
        <v>576</v>
      </c>
      <c r="E149" s="34" t="s">
        <v>577</v>
      </c>
      <c r="F149" s="34"/>
    </row>
    <row r="150" spans="2:6">
      <c r="B150" s="27"/>
      <c r="D150" s="34" t="s">
        <v>849</v>
      </c>
      <c r="E150" s="34" t="s">
        <v>852</v>
      </c>
      <c r="F150" s="34"/>
    </row>
    <row r="152" spans="2:6">
      <c r="C152" s="34"/>
    </row>
  </sheetData>
  <dataValidations count="2">
    <dataValidation type="list" allowBlank="1" showInputMessage="1" showErrorMessage="1" sqref="G146:G153" xr:uid="{00000000-0002-0000-0400-000000000000}">
      <formula1>#REF!</formula1>
    </dataValidation>
    <dataValidation type="list" allowBlank="1" showInputMessage="1" showErrorMessage="1" sqref="B146:B1048576" xr:uid="{00000000-0002-0000-0400-000001000000}">
      <formula1>$B$2:$B$144</formula1>
    </dataValidation>
  </dataValidations>
  <pageMargins left="0.7" right="0.7" top="0.75" bottom="0.75" header="0.3" footer="0.3"/>
  <pageSetup orientation="portrait" r:id="rId1"/>
  <legacyDrawing r:id="rId2"/>
  <extLst>
    <ext xmlns:x14="http://schemas.microsoft.com/office/spreadsheetml/2009/9/main" uri="{CCE6A557-97BC-4b89-ADB6-D9C93CAAB3DF}">
      <x14:dataValidations xmlns:xm="http://schemas.microsoft.com/office/excel/2006/main" count="11">
        <x14:dataValidation type="list" allowBlank="1" showInputMessage="1" showErrorMessage="1" xr:uid="{00000000-0002-0000-0400-000002000000}">
          <x14:formula1>
            <xm:f>'90.1-2010'!$B$2:$B$130</xm:f>
          </x14:formula1>
          <xm:sqref>C5:C37 C39:C141</xm:sqref>
        </x14:dataValidation>
        <x14:dataValidation type="list" allowBlank="1" showInputMessage="1" showErrorMessage="1" xr:uid="{00000000-0002-0000-0400-000003000000}">
          <x14:formula1>
            <xm:f>'90.1-2007'!$B$2:$B$125</xm:f>
          </x14:formula1>
          <xm:sqref>D5:D37 D39:D141</xm:sqref>
        </x14:dataValidation>
        <x14:dataValidation type="list" allowBlank="1" showInputMessage="1" showErrorMessage="1" xr:uid="{00000000-0002-0000-0400-000004000000}">
          <x14:formula1>
            <xm:f>'90.1-2001'!$B$2:$B$123</xm:f>
          </x14:formula1>
          <xm:sqref>E5:E37 E39:E141</xm:sqref>
        </x14:dataValidation>
        <x14:dataValidation type="list" allowBlank="1" showInputMessage="1" showErrorMessage="1" xr:uid="{00000000-0002-0000-0400-000005000000}">
          <x14:formula1>
            <xm:f>'SSPC-90.1'!$A$2:$A$35</xm:f>
          </x14:formula1>
          <xm:sqref>F5:F37</xm:sqref>
        </x14:dataValidation>
        <x14:dataValidation type="list" allowBlank="1" showInputMessage="1" showErrorMessage="1" xr:uid="{00000000-0002-0000-0400-000006000000}">
          <x14:formula1>
            <xm:f>'SSPC-90.1'!$A$2:$A$37</xm:f>
          </x14:formula1>
          <xm:sqref>F39:F141</xm:sqref>
        </x14:dataValidation>
        <x14:dataValidation type="list" allowBlank="1" showInputMessage="1" showErrorMessage="1" xr:uid="{00000000-0002-0000-0400-000007000000}">
          <x14:formula1>
            <xm:f>'90.1-2016 PRM'!$B$2:$B$136</xm:f>
          </x14:formula1>
          <xm:sqref>B1:B3 B5:B37 B39:B64 B67 B69:B70 B72:B78 B81:B91 B94:B95 B97:B102 B105:B111 B113:B127 B129:B131 B133:B141</xm:sqref>
        </x14:dataValidation>
        <x14:dataValidation type="list" allowBlank="1" showInputMessage="1" showErrorMessage="1" xr:uid="{00000000-0002-0000-0400-000008000000}">
          <x14:formula1>
            <xm:f>'CBECS-2003'!$A$3:$A$74</xm:f>
          </x14:formula1>
          <xm:sqref>G38</xm:sqref>
        </x14:dataValidation>
        <x14:dataValidation type="list" allowBlank="1" showInputMessage="1" showErrorMessage="1" xr:uid="{00000000-0002-0000-0400-000009000000}">
          <x14:formula1>
            <xm:f>'CBECS-2003'!$A$3:$A$75</xm:f>
          </x14:formula1>
          <xm:sqref>G5:G37 G39:G141</xm:sqref>
        </x14:dataValidation>
        <x14:dataValidation type="list" allowBlank="1" showInputMessage="1" showErrorMessage="1" xr:uid="{00000000-0002-0000-0400-00000A000000}">
          <x14:formula1>
            <xm:f>CEUS!$A$3:$A$21</xm:f>
          </x14:formula1>
          <xm:sqref>H5:H37 H39:H141</xm:sqref>
        </x14:dataValidation>
        <x14:dataValidation type="list" allowBlank="1" showInputMessage="1" showErrorMessage="1" xr:uid="{00000000-0002-0000-0400-00000B000000}">
          <x14:formula1>
            <xm:f>'ECB-CS'!$B$3:$B$115</xm:f>
          </x14:formula1>
          <xm:sqref>I5:I37 I39:I141</xm:sqref>
        </x14:dataValidation>
        <x14:dataValidation type="list" allowBlank="1" showInputMessage="1" showErrorMessage="1" xr:uid="{00000000-0002-0000-0400-00000C000000}">
          <x14:formula1>
            <xm:f>'ACM05'!$D$5:$D$70</xm:f>
          </x14:formula1>
          <xm:sqref>J5:J37 J39:J141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65"/>
  <sheetViews>
    <sheetView workbookViewId="0">
      <pane xSplit="2" ySplit="1" topLeftCell="C94" activePane="bottomRight" state="frozen"/>
      <selection pane="bottomRight" activeCell="B109" sqref="B109"/>
      <selection pane="bottomLeft" activeCell="A2" sqref="A2"/>
      <selection pane="topRight" activeCell="C1" sqref="C1"/>
    </sheetView>
  </sheetViews>
  <sheetFormatPr defaultRowHeight="12.75"/>
  <cols>
    <col min="1" max="1" width="4.42578125" customWidth="1"/>
    <col min="2" max="2" width="49.5703125" customWidth="1"/>
    <col min="3" max="3" width="9.140625" style="2"/>
    <col min="4" max="4" width="12.140625" style="163" customWidth="1"/>
    <col min="5" max="5" width="17" customWidth="1"/>
    <col min="6" max="6" width="6.5703125" style="87" customWidth="1"/>
    <col min="7" max="7" width="32.140625" style="88" customWidth="1"/>
    <col min="8" max="8" width="36.140625" style="88" customWidth="1"/>
    <col min="9" max="10" width="11" customWidth="1"/>
  </cols>
  <sheetData>
    <row r="1" spans="1:8" s="121" customFormat="1" ht="64.5" customHeight="1">
      <c r="B1" s="121" t="s">
        <v>853</v>
      </c>
      <c r="C1" s="125" t="s">
        <v>854</v>
      </c>
      <c r="D1" s="161" t="s">
        <v>855</v>
      </c>
      <c r="E1" s="121" t="s">
        <v>394</v>
      </c>
      <c r="F1" s="270" t="s">
        <v>856</v>
      </c>
      <c r="G1" s="264"/>
      <c r="H1" s="124"/>
    </row>
    <row r="2" spans="1:8">
      <c r="A2" s="269" t="s">
        <v>857</v>
      </c>
      <c r="B2" t="str">
        <f>F2&amp;" "&amp;G2</f>
        <v>BA Automotive Facility</v>
      </c>
      <c r="C2" s="61">
        <v>0.9</v>
      </c>
      <c r="D2" s="160" t="s">
        <v>34</v>
      </c>
      <c r="F2" s="89" t="s">
        <v>858</v>
      </c>
      <c r="G2" s="88" t="s">
        <v>464</v>
      </c>
    </row>
    <row r="3" spans="1:8">
      <c r="A3" s="269"/>
      <c r="B3" t="str">
        <f t="shared" ref="B3:B33" si="0">F3&amp;" "&amp;G3</f>
        <v>BA Convention Center</v>
      </c>
      <c r="C3" s="61">
        <v>1.2</v>
      </c>
      <c r="D3" s="160" t="s">
        <v>34</v>
      </c>
      <c r="F3" s="89" t="s">
        <v>858</v>
      </c>
      <c r="G3" s="88" t="s">
        <v>37</v>
      </c>
    </row>
    <row r="4" spans="1:8">
      <c r="A4" s="269"/>
      <c r="B4" t="str">
        <f t="shared" si="0"/>
        <v>BA Courthouse</v>
      </c>
      <c r="C4" s="61">
        <v>1.2</v>
      </c>
      <c r="D4" s="160" t="s">
        <v>34</v>
      </c>
      <c r="F4" s="89" t="s">
        <v>858</v>
      </c>
      <c r="G4" s="90" t="s">
        <v>475</v>
      </c>
    </row>
    <row r="5" spans="1:8">
      <c r="A5" s="269"/>
      <c r="B5" t="str">
        <f t="shared" si="0"/>
        <v>BA Dining: Bar Lounge/Leisure</v>
      </c>
      <c r="C5" s="61">
        <v>1.3</v>
      </c>
      <c r="D5" s="160" t="s">
        <v>34</v>
      </c>
      <c r="F5" s="89" t="s">
        <v>858</v>
      </c>
      <c r="G5" s="88" t="s">
        <v>859</v>
      </c>
    </row>
    <row r="6" spans="1:8">
      <c r="A6" s="269"/>
      <c r="B6" t="str">
        <f t="shared" si="0"/>
        <v>BA Dining: Cafeteria/Fast Food</v>
      </c>
      <c r="C6" s="61">
        <v>1.4</v>
      </c>
      <c r="D6" s="160" t="s">
        <v>34</v>
      </c>
      <c r="F6" s="89" t="s">
        <v>858</v>
      </c>
      <c r="G6" s="88" t="s">
        <v>486</v>
      </c>
    </row>
    <row r="7" spans="1:8">
      <c r="A7" s="269"/>
      <c r="B7" t="str">
        <f t="shared" si="0"/>
        <v>BA Dining: Family</v>
      </c>
      <c r="C7" s="61">
        <v>1.6</v>
      </c>
      <c r="D7" s="160" t="s">
        <v>34</v>
      </c>
      <c r="F7" s="89" t="s">
        <v>858</v>
      </c>
      <c r="G7" s="88" t="s">
        <v>489</v>
      </c>
    </row>
    <row r="8" spans="1:8">
      <c r="A8" s="269"/>
      <c r="B8" t="str">
        <f t="shared" si="0"/>
        <v>BA Dormitory</v>
      </c>
      <c r="C8" s="61">
        <v>1</v>
      </c>
      <c r="D8" s="160" t="s">
        <v>34</v>
      </c>
      <c r="F8" s="89" t="s">
        <v>858</v>
      </c>
      <c r="G8" s="88" t="s">
        <v>44</v>
      </c>
    </row>
    <row r="9" spans="1:8">
      <c r="A9" s="269"/>
      <c r="B9" t="str">
        <f t="shared" si="0"/>
        <v>BA Exercise Center</v>
      </c>
      <c r="C9" s="61">
        <v>1</v>
      </c>
      <c r="D9" s="160" t="s">
        <v>34</v>
      </c>
      <c r="F9" s="89" t="s">
        <v>858</v>
      </c>
      <c r="G9" s="88" t="s">
        <v>49</v>
      </c>
    </row>
    <row r="10" spans="1:8">
      <c r="A10" s="269"/>
      <c r="B10" t="str">
        <f t="shared" si="0"/>
        <v>BA Fire Station</v>
      </c>
      <c r="C10" s="61">
        <v>1</v>
      </c>
      <c r="D10" s="160" t="s">
        <v>34</v>
      </c>
      <c r="F10" s="89" t="s">
        <v>858</v>
      </c>
      <c r="G10" s="88" t="s">
        <v>50</v>
      </c>
    </row>
    <row r="11" spans="1:8">
      <c r="A11" s="269"/>
      <c r="B11" t="str">
        <f t="shared" si="0"/>
        <v>BA Gymnasium</v>
      </c>
      <c r="C11" s="61">
        <v>1.1000000000000001</v>
      </c>
      <c r="D11" s="160" t="s">
        <v>34</v>
      </c>
      <c r="F11" s="89" t="s">
        <v>858</v>
      </c>
      <c r="G11" s="88" t="s">
        <v>53</v>
      </c>
    </row>
    <row r="12" spans="1:8">
      <c r="A12" s="269"/>
      <c r="B12" t="str">
        <f t="shared" si="0"/>
        <v>BA Healthcare Clinic</v>
      </c>
      <c r="C12" s="61">
        <v>1</v>
      </c>
      <c r="D12" s="160" t="s">
        <v>34</v>
      </c>
      <c r="F12" s="89" t="s">
        <v>858</v>
      </c>
      <c r="G12" s="90" t="s">
        <v>860</v>
      </c>
    </row>
    <row r="13" spans="1:8">
      <c r="A13" s="269"/>
      <c r="B13" t="str">
        <f t="shared" si="0"/>
        <v>BA Hospital</v>
      </c>
      <c r="C13" s="61">
        <v>1.2</v>
      </c>
      <c r="D13" s="160" t="s">
        <v>34</v>
      </c>
      <c r="F13" s="89" t="s">
        <v>858</v>
      </c>
      <c r="G13" s="88" t="s">
        <v>56</v>
      </c>
    </row>
    <row r="14" spans="1:8">
      <c r="A14" s="269"/>
      <c r="B14" t="str">
        <f t="shared" si="0"/>
        <v>BA Hotel/Motel</v>
      </c>
      <c r="C14" s="61">
        <v>1.0900000000000001</v>
      </c>
      <c r="D14" s="160" t="s">
        <v>34</v>
      </c>
      <c r="F14" s="89" t="s">
        <v>858</v>
      </c>
      <c r="G14" s="90" t="s">
        <v>861</v>
      </c>
    </row>
    <row r="15" spans="1:8">
      <c r="A15" s="269"/>
      <c r="B15" t="str">
        <f t="shared" si="0"/>
        <v>BA Library</v>
      </c>
      <c r="C15" s="61">
        <v>1.3</v>
      </c>
      <c r="D15" s="160" t="s">
        <v>34</v>
      </c>
      <c r="F15" s="89" t="s">
        <v>858</v>
      </c>
      <c r="G15" s="88" t="s">
        <v>59</v>
      </c>
    </row>
    <row r="16" spans="1:8">
      <c r="A16" s="269"/>
      <c r="B16" t="str">
        <f t="shared" si="0"/>
        <v>BA Manufacturing Facility</v>
      </c>
      <c r="C16" s="61">
        <v>1.17</v>
      </c>
      <c r="D16" s="160" t="s">
        <v>34</v>
      </c>
      <c r="F16" s="89" t="s">
        <v>858</v>
      </c>
      <c r="G16" s="88" t="s">
        <v>60</v>
      </c>
    </row>
    <row r="17" spans="1:8">
      <c r="A17" s="269"/>
      <c r="B17" t="str">
        <f t="shared" si="0"/>
        <v>BA Motion Picture Theater</v>
      </c>
      <c r="C17" s="61">
        <v>1.2</v>
      </c>
      <c r="D17" s="160" t="s">
        <v>34</v>
      </c>
      <c r="F17" s="89" t="s">
        <v>858</v>
      </c>
      <c r="G17" s="88" t="s">
        <v>524</v>
      </c>
      <c r="H17"/>
    </row>
    <row r="18" spans="1:8">
      <c r="A18" s="269"/>
      <c r="B18" t="str">
        <f t="shared" si="0"/>
        <v>BA Multifamily</v>
      </c>
      <c r="C18" s="61">
        <v>0.7</v>
      </c>
      <c r="D18" s="160" t="s">
        <v>34</v>
      </c>
      <c r="F18" s="89" t="s">
        <v>858</v>
      </c>
      <c r="G18" s="90" t="s">
        <v>528</v>
      </c>
      <c r="H18"/>
    </row>
    <row r="19" spans="1:8">
      <c r="A19" s="269"/>
      <c r="B19" t="str">
        <f t="shared" si="0"/>
        <v>BA Museum</v>
      </c>
      <c r="C19" s="61">
        <v>1.1000000000000001</v>
      </c>
      <c r="D19" s="160" t="s">
        <v>34</v>
      </c>
      <c r="F19" s="89" t="s">
        <v>858</v>
      </c>
      <c r="G19" s="88" t="s">
        <v>532</v>
      </c>
      <c r="H19"/>
    </row>
    <row r="20" spans="1:8">
      <c r="A20" s="269"/>
      <c r="B20" t="str">
        <f t="shared" si="0"/>
        <v>BA Office</v>
      </c>
      <c r="C20" s="61">
        <v>1</v>
      </c>
      <c r="D20" s="160" t="s">
        <v>34</v>
      </c>
      <c r="F20" s="89" t="s">
        <v>858</v>
      </c>
      <c r="G20" s="88" t="s">
        <v>66</v>
      </c>
      <c r="H20"/>
    </row>
    <row r="21" spans="1:8">
      <c r="A21" s="269"/>
      <c r="B21" t="str">
        <f t="shared" si="0"/>
        <v>BA Parking Garage</v>
      </c>
      <c r="C21" s="61">
        <v>0.3</v>
      </c>
      <c r="D21" s="160" t="s">
        <v>34</v>
      </c>
      <c r="F21" s="89" t="s">
        <v>858</v>
      </c>
      <c r="G21" s="88" t="s">
        <v>67</v>
      </c>
      <c r="H21"/>
    </row>
    <row r="22" spans="1:8">
      <c r="A22" s="269"/>
      <c r="B22" t="str">
        <f t="shared" si="0"/>
        <v>BA Penitentiary</v>
      </c>
      <c r="C22" s="61">
        <v>1</v>
      </c>
      <c r="D22" s="160" t="s">
        <v>34</v>
      </c>
      <c r="F22" s="89" t="s">
        <v>858</v>
      </c>
      <c r="G22" s="88" t="s">
        <v>70</v>
      </c>
      <c r="H22"/>
    </row>
    <row r="23" spans="1:8">
      <c r="A23" s="269"/>
      <c r="B23" t="str">
        <f t="shared" si="0"/>
        <v>BA Performing Arts Theater</v>
      </c>
      <c r="C23" s="61">
        <v>1.6</v>
      </c>
      <c r="D23" s="160" t="s">
        <v>34</v>
      </c>
      <c r="F23" s="89" t="s">
        <v>858</v>
      </c>
      <c r="G23" s="88" t="s">
        <v>542</v>
      </c>
      <c r="H23"/>
    </row>
    <row r="24" spans="1:8">
      <c r="A24" s="269"/>
      <c r="B24" t="str">
        <f t="shared" si="0"/>
        <v>BA Police Station</v>
      </c>
      <c r="C24" s="61">
        <v>1</v>
      </c>
      <c r="D24" s="160" t="s">
        <v>34</v>
      </c>
      <c r="F24" s="89" t="s">
        <v>858</v>
      </c>
      <c r="G24" s="90" t="s">
        <v>72</v>
      </c>
      <c r="H24"/>
    </row>
    <row r="25" spans="1:8">
      <c r="A25" s="269"/>
      <c r="B25" t="str">
        <f t="shared" si="0"/>
        <v>BA Post Office</v>
      </c>
      <c r="C25" s="61">
        <v>1.1000000000000001</v>
      </c>
      <c r="D25" s="160" t="s">
        <v>34</v>
      </c>
      <c r="F25" s="89" t="s">
        <v>858</v>
      </c>
      <c r="G25" s="88" t="s">
        <v>73</v>
      </c>
      <c r="H25"/>
    </row>
    <row r="26" spans="1:8">
      <c r="A26" s="269"/>
      <c r="B26" t="str">
        <f t="shared" si="0"/>
        <v>BA Religious Building</v>
      </c>
      <c r="C26" s="61">
        <v>1.3</v>
      </c>
      <c r="D26" s="160" t="s">
        <v>34</v>
      </c>
      <c r="F26" s="89" t="s">
        <v>858</v>
      </c>
      <c r="G26" s="88" t="s">
        <v>74</v>
      </c>
      <c r="H26"/>
    </row>
    <row r="27" spans="1:8">
      <c r="A27" s="269"/>
      <c r="B27" t="str">
        <f t="shared" si="0"/>
        <v>BA Retail</v>
      </c>
      <c r="C27" s="61">
        <v>1.5</v>
      </c>
      <c r="D27" s="160" t="s">
        <v>34</v>
      </c>
      <c r="F27" s="89" t="s">
        <v>858</v>
      </c>
      <c r="G27" s="88" t="s">
        <v>68</v>
      </c>
      <c r="H27"/>
    </row>
    <row r="28" spans="1:8">
      <c r="A28" s="269"/>
      <c r="B28" t="str">
        <f t="shared" si="0"/>
        <v>BA School/University</v>
      </c>
      <c r="C28" s="61">
        <v>1.2</v>
      </c>
      <c r="D28" s="160" t="s">
        <v>34</v>
      </c>
      <c r="F28" s="89" t="s">
        <v>858</v>
      </c>
      <c r="G28" s="88" t="s">
        <v>77</v>
      </c>
      <c r="H28"/>
    </row>
    <row r="29" spans="1:8">
      <c r="A29" s="269"/>
      <c r="B29" t="str">
        <f t="shared" si="0"/>
        <v>BA Sports Arena</v>
      </c>
      <c r="C29" s="61">
        <v>1.1000000000000001</v>
      </c>
      <c r="D29" s="160" t="s">
        <v>34</v>
      </c>
      <c r="F29" s="89" t="s">
        <v>858</v>
      </c>
      <c r="G29" s="88" t="s">
        <v>79</v>
      </c>
      <c r="H29"/>
    </row>
    <row r="30" spans="1:8">
      <c r="A30" s="269"/>
      <c r="B30" t="str">
        <f t="shared" si="0"/>
        <v>BA Town Hall</v>
      </c>
      <c r="C30" s="61">
        <v>1.1000000000000001</v>
      </c>
      <c r="D30" s="160" t="s">
        <v>34</v>
      </c>
      <c r="F30" s="89" t="s">
        <v>858</v>
      </c>
      <c r="G30" s="88" t="s">
        <v>80</v>
      </c>
      <c r="H30"/>
    </row>
    <row r="31" spans="1:8">
      <c r="A31" s="269"/>
      <c r="B31" t="str">
        <f t="shared" si="0"/>
        <v>BA Transportation</v>
      </c>
      <c r="C31" s="61">
        <v>1</v>
      </c>
      <c r="D31" s="160" t="s">
        <v>34</v>
      </c>
      <c r="F31" s="89" t="s">
        <v>858</v>
      </c>
      <c r="G31" s="88" t="s">
        <v>81</v>
      </c>
      <c r="H31"/>
    </row>
    <row r="32" spans="1:8">
      <c r="A32" s="269"/>
      <c r="B32" t="str">
        <f t="shared" si="0"/>
        <v>BA Warehouse</v>
      </c>
      <c r="C32" s="61">
        <v>0.8</v>
      </c>
      <c r="D32" s="160" t="s">
        <v>34</v>
      </c>
      <c r="F32" s="89" t="s">
        <v>858</v>
      </c>
      <c r="G32" s="88" t="s">
        <v>82</v>
      </c>
    </row>
    <row r="33" spans="1:8">
      <c r="A33" s="71"/>
      <c r="B33" t="str">
        <f t="shared" si="0"/>
        <v>BA Workshop</v>
      </c>
      <c r="C33" s="61">
        <v>1.4</v>
      </c>
      <c r="D33" s="160" t="s">
        <v>34</v>
      </c>
      <c r="F33" s="89" t="s">
        <v>858</v>
      </c>
      <c r="G33" s="88" t="s">
        <v>84</v>
      </c>
    </row>
    <row r="34" spans="1:8">
      <c r="A34" s="266" t="s">
        <v>862</v>
      </c>
      <c r="B34" t="str">
        <f>F34&amp;" "&amp;G34&amp;", "&amp;H34</f>
        <v>CS Audience Seating Area, Auditorium</v>
      </c>
      <c r="C34" s="61">
        <v>0.9</v>
      </c>
      <c r="D34" s="160">
        <v>0.1</v>
      </c>
      <c r="F34" s="89" t="s">
        <v>863</v>
      </c>
      <c r="G34" s="90" t="s">
        <v>864</v>
      </c>
      <c r="H34" s="90" t="s">
        <v>865</v>
      </c>
    </row>
    <row r="35" spans="1:8">
      <c r="A35" s="266"/>
      <c r="B35" t="str">
        <f t="shared" ref="B35:B100" si="1">F35&amp;" "&amp;G35&amp;", "&amp;H35</f>
        <v>CS Audience Seating Area, Convention Center</v>
      </c>
      <c r="C35" s="61">
        <v>0.7</v>
      </c>
      <c r="D35" s="160">
        <v>0.1</v>
      </c>
      <c r="F35" s="89" t="s">
        <v>863</v>
      </c>
      <c r="G35" s="90" t="s">
        <v>864</v>
      </c>
      <c r="H35" s="90" t="s">
        <v>37</v>
      </c>
    </row>
    <row r="36" spans="1:8">
      <c r="A36" s="266"/>
      <c r="B36" t="str">
        <f t="shared" si="1"/>
        <v>CS Audience Seating Area, Exercise Center</v>
      </c>
      <c r="C36" s="61">
        <v>0.3</v>
      </c>
      <c r="D36" s="160">
        <v>0.1</v>
      </c>
      <c r="F36" s="89" t="s">
        <v>863</v>
      </c>
      <c r="G36" s="90" t="s">
        <v>864</v>
      </c>
      <c r="H36" s="90" t="s">
        <v>49</v>
      </c>
    </row>
    <row r="37" spans="1:8">
      <c r="A37" s="266"/>
      <c r="B37" t="str">
        <f t="shared" si="1"/>
        <v>CS Audience Seating Area, Gymnasium</v>
      </c>
      <c r="C37" s="61">
        <v>0.4</v>
      </c>
      <c r="D37" s="160">
        <v>0.1</v>
      </c>
      <c r="F37" s="89" t="s">
        <v>863</v>
      </c>
      <c r="G37" s="90" t="s">
        <v>864</v>
      </c>
      <c r="H37" s="90" t="s">
        <v>53</v>
      </c>
    </row>
    <row r="38" spans="1:8">
      <c r="A38" s="266"/>
      <c r="B38" t="str">
        <f t="shared" si="1"/>
        <v>CS Audience Seating Area, Motion Picture Theater</v>
      </c>
      <c r="C38" s="61">
        <v>1.2</v>
      </c>
      <c r="D38" s="160">
        <v>0.1</v>
      </c>
      <c r="F38" s="89" t="s">
        <v>863</v>
      </c>
      <c r="G38" s="90" t="s">
        <v>864</v>
      </c>
      <c r="H38" s="90" t="s">
        <v>524</v>
      </c>
    </row>
    <row r="39" spans="1:8">
      <c r="A39" s="266"/>
      <c r="B39" t="str">
        <f t="shared" si="1"/>
        <v>CS Audience Seating Area, Penitentiary</v>
      </c>
      <c r="C39" s="61">
        <v>0.7</v>
      </c>
      <c r="D39" s="160">
        <v>0.1</v>
      </c>
      <c r="F39" s="89" t="s">
        <v>863</v>
      </c>
      <c r="G39" s="90" t="s">
        <v>864</v>
      </c>
      <c r="H39" s="90" t="s">
        <v>70</v>
      </c>
    </row>
    <row r="40" spans="1:8">
      <c r="A40" s="266"/>
      <c r="B40" t="str">
        <f t="shared" si="1"/>
        <v>CS Audience Seating Area, Performing Arts Theater</v>
      </c>
      <c r="C40" s="61">
        <v>2.6</v>
      </c>
      <c r="D40" s="160">
        <v>0.1</v>
      </c>
      <c r="F40" s="89" t="s">
        <v>863</v>
      </c>
      <c r="G40" s="90" t="s">
        <v>864</v>
      </c>
      <c r="H40" s="90" t="s">
        <v>542</v>
      </c>
    </row>
    <row r="41" spans="1:8">
      <c r="A41" s="266"/>
      <c r="B41" t="str">
        <f t="shared" si="1"/>
        <v>CS Audience Seating Area, Religious Building</v>
      </c>
      <c r="C41" s="61">
        <v>1.7</v>
      </c>
      <c r="D41" s="160">
        <v>0.1</v>
      </c>
      <c r="F41" s="89" t="s">
        <v>863</v>
      </c>
      <c r="G41" s="90" t="s">
        <v>864</v>
      </c>
      <c r="H41" s="90" t="s">
        <v>74</v>
      </c>
    </row>
    <row r="42" spans="1:8">
      <c r="A42" s="266"/>
      <c r="B42" t="str">
        <f t="shared" si="1"/>
        <v>CS Audience Seating Area, Sports Arena</v>
      </c>
      <c r="C42" s="61">
        <v>0.4</v>
      </c>
      <c r="D42" s="160">
        <v>0.1</v>
      </c>
      <c r="F42" s="89" t="s">
        <v>863</v>
      </c>
      <c r="G42" s="90" t="s">
        <v>864</v>
      </c>
      <c r="H42" s="90" t="s">
        <v>79</v>
      </c>
    </row>
    <row r="43" spans="1:8">
      <c r="A43" s="266"/>
      <c r="B43" t="str">
        <f t="shared" si="1"/>
        <v>CS Audience Seating Area, Transportation Facility</v>
      </c>
      <c r="C43" s="61">
        <v>0.5</v>
      </c>
      <c r="D43" s="160">
        <v>0.1</v>
      </c>
      <c r="F43" s="89" t="s">
        <v>863</v>
      </c>
      <c r="G43" s="90" t="s">
        <v>864</v>
      </c>
      <c r="H43" s="90" t="s">
        <v>866</v>
      </c>
    </row>
    <row r="44" spans="1:8">
      <c r="A44" s="266"/>
      <c r="B44" t="str">
        <f t="shared" si="1"/>
        <v>CS Audience Seating Area, Other</v>
      </c>
      <c r="C44" s="61">
        <v>0.9</v>
      </c>
      <c r="D44" s="160">
        <v>0.1</v>
      </c>
      <c r="F44" s="89" t="s">
        <v>863</v>
      </c>
      <c r="G44" s="90" t="s">
        <v>864</v>
      </c>
      <c r="H44" s="90" t="s">
        <v>867</v>
      </c>
    </row>
    <row r="45" spans="1:8">
      <c r="A45" s="266"/>
      <c r="B45" t="str">
        <f t="shared" si="1"/>
        <v>CS Atrium, Less than or equal to 40 ft</v>
      </c>
      <c r="C45" s="74" t="s">
        <v>868</v>
      </c>
      <c r="D45" s="160">
        <v>0.1</v>
      </c>
      <c r="E45" s="27"/>
      <c r="F45" s="89" t="s">
        <v>863</v>
      </c>
      <c r="G45" s="88" t="s">
        <v>869</v>
      </c>
      <c r="H45" s="90" t="s">
        <v>870</v>
      </c>
    </row>
    <row r="46" spans="1:8">
      <c r="A46" s="266"/>
      <c r="B46" t="str">
        <f t="shared" si="1"/>
        <v>CS Atrium, More than 40 ft</v>
      </c>
      <c r="C46" s="74" t="s">
        <v>871</v>
      </c>
      <c r="D46" s="160">
        <v>0.1</v>
      </c>
      <c r="E46" s="27"/>
      <c r="F46" s="89" t="s">
        <v>863</v>
      </c>
      <c r="G46" s="88" t="str">
        <f>G45</f>
        <v>Atrium</v>
      </c>
      <c r="H46" s="90" t="s">
        <v>872</v>
      </c>
    </row>
    <row r="47" spans="1:8">
      <c r="A47" s="266"/>
      <c r="B47" t="str">
        <f t="shared" si="1"/>
        <v xml:space="preserve">CS Banking Activity Area, </v>
      </c>
      <c r="C47" s="61">
        <v>1.5</v>
      </c>
      <c r="D47" s="160">
        <v>0.1</v>
      </c>
      <c r="F47" s="89" t="s">
        <v>863</v>
      </c>
      <c r="G47" s="90" t="s">
        <v>873</v>
      </c>
      <c r="H47" s="90"/>
    </row>
    <row r="48" spans="1:8">
      <c r="A48" s="266"/>
      <c r="B48" t="str">
        <f t="shared" si="1"/>
        <v>CS Classroom/Lecture/Training, Penitentiary</v>
      </c>
      <c r="C48" s="61">
        <v>1.3</v>
      </c>
      <c r="D48" s="160" t="s">
        <v>34</v>
      </c>
      <c r="F48" s="89" t="s">
        <v>863</v>
      </c>
      <c r="G48" s="90" t="s">
        <v>874</v>
      </c>
      <c r="H48" s="90" t="s">
        <v>70</v>
      </c>
    </row>
    <row r="49" spans="1:8">
      <c r="A49" s="266"/>
      <c r="B49" t="str">
        <f t="shared" si="1"/>
        <v>CS Classroom/Lecture/Training, K-12, laboratory and shops</v>
      </c>
      <c r="C49" s="61">
        <v>1.4</v>
      </c>
      <c r="D49" s="160">
        <v>0.3</v>
      </c>
      <c r="F49" s="89" t="s">
        <v>863</v>
      </c>
      <c r="G49" s="90" t="s">
        <v>874</v>
      </c>
      <c r="H49" s="90" t="s">
        <v>875</v>
      </c>
    </row>
    <row r="50" spans="1:8">
      <c r="A50" s="266"/>
      <c r="B50" t="str">
        <f t="shared" si="1"/>
        <v>CS Classroom/Lecture/Training, Other</v>
      </c>
      <c r="C50" s="61">
        <v>1.4</v>
      </c>
      <c r="D50" s="160" t="s">
        <v>34</v>
      </c>
      <c r="F50" s="89" t="s">
        <v>863</v>
      </c>
      <c r="G50" s="90" t="s">
        <v>874</v>
      </c>
      <c r="H50" s="90" t="s">
        <v>867</v>
      </c>
    </row>
    <row r="51" spans="1:8">
      <c r="A51" s="266"/>
      <c r="B51" t="str">
        <f t="shared" si="1"/>
        <v xml:space="preserve">CS Conference/Meeting/Multipurpose, </v>
      </c>
      <c r="C51" s="61">
        <v>1.3</v>
      </c>
      <c r="D51" s="160" t="s">
        <v>34</v>
      </c>
      <c r="F51" s="89" t="s">
        <v>863</v>
      </c>
      <c r="G51" s="90" t="s">
        <v>876</v>
      </c>
    </row>
    <row r="52" spans="1:8">
      <c r="A52" s="266"/>
      <c r="B52" t="str">
        <f t="shared" si="1"/>
        <v xml:space="preserve">CS Confinment Cells, </v>
      </c>
      <c r="C52" s="61">
        <v>0.9</v>
      </c>
      <c r="D52" s="160">
        <v>0.1</v>
      </c>
      <c r="F52" s="89" t="s">
        <v>863</v>
      </c>
      <c r="G52" s="90" t="s">
        <v>877</v>
      </c>
    </row>
    <row r="53" spans="1:8">
      <c r="A53" s="266"/>
      <c r="B53" t="str">
        <f t="shared" si="1"/>
        <v xml:space="preserve">CS Copy/Print Room, </v>
      </c>
      <c r="C53" s="61">
        <v>0.9</v>
      </c>
      <c r="D53" s="160">
        <v>0.1</v>
      </c>
      <c r="F53" s="89" t="s">
        <v>863</v>
      </c>
      <c r="G53" s="90" t="s">
        <v>878</v>
      </c>
    </row>
    <row r="54" spans="1:8">
      <c r="A54" s="266"/>
      <c r="B54" t="str">
        <f t="shared" si="1"/>
        <v>CS Corridor, Assisted Living</v>
      </c>
      <c r="C54" s="61">
        <v>1.1499999999999999</v>
      </c>
      <c r="D54" s="160">
        <v>0.25</v>
      </c>
      <c r="F54" s="89" t="s">
        <v>863</v>
      </c>
      <c r="G54" s="90" t="s">
        <v>879</v>
      </c>
      <c r="H54" s="90" t="s">
        <v>880</v>
      </c>
    </row>
    <row r="55" spans="1:8">
      <c r="A55" s="266"/>
      <c r="B55" t="str">
        <f t="shared" si="1"/>
        <v>CS Corridor, Hospital</v>
      </c>
      <c r="C55" s="61">
        <v>1</v>
      </c>
      <c r="D55" s="160">
        <v>0.25</v>
      </c>
      <c r="F55" s="89" t="s">
        <v>863</v>
      </c>
      <c r="G55" s="90" t="s">
        <v>879</v>
      </c>
      <c r="H55" s="90" t="s">
        <v>56</v>
      </c>
    </row>
    <row r="56" spans="1:8">
      <c r="A56" s="266"/>
      <c r="B56" t="str">
        <f t="shared" si="1"/>
        <v>CS Corridor, Manufacturing</v>
      </c>
      <c r="C56" s="61">
        <v>0.5</v>
      </c>
      <c r="D56" s="160">
        <v>0.25</v>
      </c>
      <c r="F56" s="89" t="s">
        <v>863</v>
      </c>
      <c r="G56" s="90" t="s">
        <v>879</v>
      </c>
      <c r="H56" s="90" t="s">
        <v>881</v>
      </c>
    </row>
    <row r="57" spans="1:8">
      <c r="A57" s="266"/>
      <c r="B57" t="str">
        <f t="shared" si="1"/>
        <v>CS Corridor, Other</v>
      </c>
      <c r="C57" s="61">
        <v>0.5</v>
      </c>
      <c r="D57" s="160">
        <v>0.25</v>
      </c>
      <c r="F57" s="89" t="s">
        <v>863</v>
      </c>
      <c r="G57" s="90" t="s">
        <v>879</v>
      </c>
      <c r="H57" s="90" t="s">
        <v>867</v>
      </c>
    </row>
    <row r="58" spans="1:8">
      <c r="A58" s="266"/>
      <c r="B58" t="str">
        <f t="shared" si="1"/>
        <v xml:space="preserve">CS Courtroom, </v>
      </c>
      <c r="C58" s="61">
        <v>1.9</v>
      </c>
      <c r="D58" s="160">
        <v>0.1</v>
      </c>
      <c r="F58" s="89" t="s">
        <v>863</v>
      </c>
      <c r="G58" s="90" t="s">
        <v>882</v>
      </c>
      <c r="H58" s="90"/>
    </row>
    <row r="59" spans="1:8">
      <c r="A59" s="266"/>
      <c r="B59" t="str">
        <f t="shared" si="1"/>
        <v xml:space="preserve">CS Computer Room, </v>
      </c>
      <c r="C59" s="61">
        <v>2.14</v>
      </c>
      <c r="D59" s="160">
        <v>0.35</v>
      </c>
      <c r="F59" s="89" t="s">
        <v>863</v>
      </c>
      <c r="G59" s="90" t="s">
        <v>883</v>
      </c>
      <c r="H59" s="90"/>
    </row>
    <row r="60" spans="1:8">
      <c r="A60" s="266"/>
      <c r="B60" t="str">
        <f t="shared" si="1"/>
        <v>CS Dining Area, Penitentiary</v>
      </c>
      <c r="C60" s="61">
        <v>1.3</v>
      </c>
      <c r="D60" s="160">
        <v>0.35</v>
      </c>
      <c r="F60" s="89" t="s">
        <v>863</v>
      </c>
      <c r="G60" s="92" t="s">
        <v>884</v>
      </c>
      <c r="H60" s="90" t="s">
        <v>70</v>
      </c>
    </row>
    <row r="61" spans="1:8">
      <c r="A61" s="266"/>
      <c r="B61" t="str">
        <f t="shared" si="1"/>
        <v>CS Dining Area, Assisted Living</v>
      </c>
      <c r="C61" s="61">
        <v>3.32</v>
      </c>
      <c r="D61" s="160">
        <v>0.35</v>
      </c>
      <c r="F61" s="89" t="s">
        <v>863</v>
      </c>
      <c r="G61" s="92" t="s">
        <v>884</v>
      </c>
      <c r="H61" s="90" t="s">
        <v>880</v>
      </c>
    </row>
    <row r="62" spans="1:8">
      <c r="A62" s="266"/>
      <c r="B62" t="str">
        <f t="shared" si="1"/>
        <v xml:space="preserve">CS Dining Area, Bar Lounge/Leisure   </v>
      </c>
      <c r="C62" s="61">
        <v>1.4</v>
      </c>
      <c r="D62" s="160">
        <v>0.35</v>
      </c>
      <c r="F62" s="89" t="s">
        <v>863</v>
      </c>
      <c r="G62" s="92" t="s">
        <v>884</v>
      </c>
      <c r="H62" s="90" t="s">
        <v>885</v>
      </c>
    </row>
    <row r="63" spans="1:8">
      <c r="A63" s="266"/>
      <c r="B63" t="str">
        <f t="shared" si="1"/>
        <v xml:space="preserve">CS Dining Area, Cafeteria or Fast Food </v>
      </c>
      <c r="C63" s="61">
        <v>0.9</v>
      </c>
      <c r="D63" s="160">
        <v>0.35</v>
      </c>
      <c r="F63" s="89" t="s">
        <v>863</v>
      </c>
      <c r="G63" s="88" t="str">
        <f>G62</f>
        <v>Dining Area</v>
      </c>
      <c r="H63" s="90" t="s">
        <v>886</v>
      </c>
    </row>
    <row r="64" spans="1:8">
      <c r="A64" s="266"/>
      <c r="B64" t="str">
        <f t="shared" si="1"/>
        <v xml:space="preserve">CS Dining Area, Family Dining  </v>
      </c>
      <c r="C64" s="61">
        <v>2.1</v>
      </c>
      <c r="D64" s="160">
        <v>0.35</v>
      </c>
      <c r="F64" s="89" t="s">
        <v>863</v>
      </c>
      <c r="G64" s="88" t="str">
        <f>G63</f>
        <v>Dining Area</v>
      </c>
      <c r="H64" s="90" t="s">
        <v>887</v>
      </c>
    </row>
    <row r="65" spans="1:8">
      <c r="A65" s="266"/>
      <c r="B65" t="str">
        <f t="shared" si="1"/>
        <v>CS Dining Area, Other</v>
      </c>
      <c r="C65" s="61">
        <v>0.9</v>
      </c>
      <c r="D65" s="160">
        <v>0.35</v>
      </c>
      <c r="F65" s="89" t="s">
        <v>863</v>
      </c>
      <c r="G65" s="88" t="str">
        <f>G64</f>
        <v>Dining Area</v>
      </c>
      <c r="H65" s="90" t="s">
        <v>867</v>
      </c>
    </row>
    <row r="66" spans="1:8">
      <c r="A66" s="267"/>
      <c r="B66" t="str">
        <f t="shared" si="1"/>
        <v xml:space="preserve">CS Electrical/Mechanical  , </v>
      </c>
      <c r="C66" s="61">
        <v>1.5</v>
      </c>
      <c r="D66" s="160">
        <v>0.3</v>
      </c>
      <c r="F66" s="89" t="s">
        <v>863</v>
      </c>
      <c r="G66" s="88" t="s">
        <v>110</v>
      </c>
    </row>
    <row r="67" spans="1:8">
      <c r="A67" s="267"/>
      <c r="B67" t="str">
        <f t="shared" si="1"/>
        <v xml:space="preserve">CS Emergency Vehicle Garage, </v>
      </c>
      <c r="C67" s="61">
        <v>0.8</v>
      </c>
      <c r="D67" s="160">
        <v>0.1</v>
      </c>
      <c r="F67" s="89" t="s">
        <v>863</v>
      </c>
      <c r="G67" s="90" t="s">
        <v>888</v>
      </c>
    </row>
    <row r="68" spans="1:8">
      <c r="A68" s="267"/>
      <c r="B68" t="str">
        <f t="shared" si="1"/>
        <v xml:space="preserve">CS Food Preparation  , </v>
      </c>
      <c r="C68" s="61">
        <v>1.2</v>
      </c>
      <c r="D68" s="160">
        <v>0.3</v>
      </c>
      <c r="F68" s="89" t="s">
        <v>863</v>
      </c>
      <c r="G68" s="88" t="s">
        <v>114</v>
      </c>
    </row>
    <row r="69" spans="1:8">
      <c r="A69" s="267"/>
      <c r="B69" t="str">
        <f t="shared" si="1"/>
        <v xml:space="preserve">CS Guest Room, </v>
      </c>
      <c r="C69" s="61">
        <v>1.1000000000000001</v>
      </c>
      <c r="D69" s="160">
        <v>0.45</v>
      </c>
      <c r="F69" s="89" t="s">
        <v>863</v>
      </c>
      <c r="G69" s="90" t="s">
        <v>889</v>
      </c>
    </row>
    <row r="70" spans="1:8">
      <c r="A70" s="267"/>
      <c r="B70" t="str">
        <f t="shared" si="1"/>
        <v xml:space="preserve">CS Judges Chambers, </v>
      </c>
      <c r="C70" s="61">
        <v>1.3</v>
      </c>
      <c r="D70" s="160">
        <v>0.3</v>
      </c>
      <c r="F70" s="89" t="s">
        <v>863</v>
      </c>
      <c r="G70" s="90" t="s">
        <v>890</v>
      </c>
    </row>
    <row r="71" spans="1:8">
      <c r="A71" s="267"/>
      <c r="B71" t="str">
        <f t="shared" si="1"/>
        <v xml:space="preserve">CS Laboratory, Classrooms  </v>
      </c>
      <c r="C71" s="61">
        <v>1.4</v>
      </c>
      <c r="D71" s="160" t="s">
        <v>891</v>
      </c>
      <c r="F71" s="89" t="s">
        <v>863</v>
      </c>
      <c r="G71" s="92" t="s">
        <v>892</v>
      </c>
      <c r="H71" s="90" t="s">
        <v>893</v>
      </c>
    </row>
    <row r="72" spans="1:8">
      <c r="A72" s="267"/>
      <c r="B72" t="str">
        <f t="shared" si="1"/>
        <v>CS Laboratory, Other</v>
      </c>
      <c r="C72" s="61">
        <v>1.4</v>
      </c>
      <c r="D72" s="160">
        <v>0.1</v>
      </c>
      <c r="F72" s="89" t="s">
        <v>863</v>
      </c>
      <c r="G72" s="92" t="s">
        <v>892</v>
      </c>
      <c r="H72" s="90" t="s">
        <v>867</v>
      </c>
    </row>
    <row r="73" spans="1:8">
      <c r="A73" s="267"/>
      <c r="B73" t="str">
        <f t="shared" si="1"/>
        <v xml:space="preserve">CS Laundry/Washing Area, </v>
      </c>
      <c r="C73" s="61">
        <v>0.6</v>
      </c>
      <c r="D73" s="160">
        <v>0.1</v>
      </c>
      <c r="F73" s="89" t="s">
        <v>863</v>
      </c>
      <c r="G73" s="90" t="s">
        <v>894</v>
      </c>
      <c r="H73" s="90"/>
    </row>
    <row r="74" spans="1:8">
      <c r="A74" s="267"/>
      <c r="B74" t="str">
        <f t="shared" si="1"/>
        <v xml:space="preserve">CS Loading Dock, Interior, </v>
      </c>
      <c r="C74" s="61">
        <v>0.59</v>
      </c>
      <c r="D74" s="160">
        <v>0.1</v>
      </c>
      <c r="F74" s="89" t="s">
        <v>863</v>
      </c>
      <c r="G74" s="90" t="s">
        <v>895</v>
      </c>
      <c r="H74" s="90"/>
    </row>
    <row r="75" spans="1:8">
      <c r="A75" s="267"/>
      <c r="B75" t="str">
        <f t="shared" si="1"/>
        <v>CS Lobby, Assisted Living</v>
      </c>
      <c r="C75" s="61">
        <v>2.2599999999999998</v>
      </c>
      <c r="D75" s="210">
        <v>0.25</v>
      </c>
      <c r="F75" s="89" t="s">
        <v>863</v>
      </c>
      <c r="G75" s="92" t="s">
        <v>896</v>
      </c>
      <c r="H75" s="90" t="s">
        <v>880</v>
      </c>
    </row>
    <row r="76" spans="1:8">
      <c r="A76" s="267"/>
      <c r="B76" t="str">
        <f t="shared" si="1"/>
        <v xml:space="preserve">CS Lobby, Elevator  </v>
      </c>
      <c r="C76" s="61">
        <v>0.8</v>
      </c>
      <c r="D76" s="210">
        <v>0.25</v>
      </c>
      <c r="F76" s="89" t="s">
        <v>863</v>
      </c>
      <c r="G76" s="92" t="s">
        <v>896</v>
      </c>
      <c r="H76" s="90" t="s">
        <v>897</v>
      </c>
    </row>
    <row r="77" spans="1:8">
      <c r="A77" s="267"/>
      <c r="B77" t="str">
        <f t="shared" si="1"/>
        <v>CS Lobby, Hotel</v>
      </c>
      <c r="C77" s="61">
        <v>1.1000000000000001</v>
      </c>
      <c r="D77" s="210">
        <v>0.25</v>
      </c>
      <c r="F77" s="89" t="s">
        <v>863</v>
      </c>
      <c r="G77" s="88" t="str">
        <f>G76</f>
        <v>Lobby</v>
      </c>
      <c r="H77" s="90" t="s">
        <v>514</v>
      </c>
    </row>
    <row r="78" spans="1:8">
      <c r="A78" s="267"/>
      <c r="B78" t="str">
        <f t="shared" si="1"/>
        <v xml:space="preserve">CS Lobby, Motion Picture Theater  </v>
      </c>
      <c r="C78" s="61">
        <v>1.1000000000000001</v>
      </c>
      <c r="D78" s="210">
        <v>0.25</v>
      </c>
      <c r="F78" s="89" t="s">
        <v>863</v>
      </c>
      <c r="G78" s="88" t="str">
        <f>G77</f>
        <v>Lobby</v>
      </c>
      <c r="H78" s="90" t="s">
        <v>898</v>
      </c>
    </row>
    <row r="79" spans="1:8">
      <c r="A79" s="267"/>
      <c r="B79" t="str">
        <f t="shared" si="1"/>
        <v xml:space="preserve">CS Lobby, Performing Arts Theater  </v>
      </c>
      <c r="C79" s="61">
        <v>3.3</v>
      </c>
      <c r="D79" s="210">
        <v>0.25</v>
      </c>
      <c r="F79" s="89" t="s">
        <v>863</v>
      </c>
      <c r="G79" s="88" t="str">
        <f>G78</f>
        <v>Lobby</v>
      </c>
      <c r="H79" s="90" t="s">
        <v>899</v>
      </c>
    </row>
    <row r="80" spans="1:8">
      <c r="A80" s="267"/>
      <c r="B80" t="str">
        <f t="shared" si="1"/>
        <v>CS Lobby, Other</v>
      </c>
      <c r="C80" s="61">
        <v>1.3</v>
      </c>
      <c r="D80" s="210">
        <v>0.25</v>
      </c>
      <c r="F80" s="89" t="s">
        <v>863</v>
      </c>
      <c r="G80" s="88" t="str">
        <f>G79</f>
        <v>Lobby</v>
      </c>
      <c r="H80" s="90" t="s">
        <v>867</v>
      </c>
    </row>
    <row r="81" spans="1:8">
      <c r="A81" s="267"/>
      <c r="B81" t="str">
        <f t="shared" si="1"/>
        <v xml:space="preserve">CS Locker Room  , </v>
      </c>
      <c r="C81" s="61">
        <v>0.6</v>
      </c>
      <c r="D81" s="160">
        <v>0.25</v>
      </c>
      <c r="F81" s="89" t="s">
        <v>863</v>
      </c>
      <c r="G81" s="88" t="s">
        <v>149</v>
      </c>
    </row>
    <row r="82" spans="1:8">
      <c r="A82" s="267"/>
      <c r="B82" t="str">
        <f t="shared" si="1"/>
        <v>CS Lounge/Break, Healthcare</v>
      </c>
      <c r="C82" s="61">
        <v>0.8</v>
      </c>
      <c r="D82" s="160" t="s">
        <v>34</v>
      </c>
      <c r="F82" s="89" t="s">
        <v>863</v>
      </c>
      <c r="G82" s="90" t="s">
        <v>900</v>
      </c>
      <c r="H82" s="90" t="s">
        <v>901</v>
      </c>
    </row>
    <row r="83" spans="1:8">
      <c r="A83" s="267"/>
      <c r="B83" t="str">
        <f t="shared" si="1"/>
        <v>CS Lounge/Break, Other</v>
      </c>
      <c r="C83" s="61">
        <v>1.2</v>
      </c>
      <c r="D83" s="160" t="s">
        <v>34</v>
      </c>
      <c r="F83" s="89" t="s">
        <v>863</v>
      </c>
      <c r="G83" s="90" t="s">
        <v>900</v>
      </c>
      <c r="H83" s="90" t="s">
        <v>867</v>
      </c>
    </row>
    <row r="84" spans="1:8">
      <c r="A84" s="267"/>
      <c r="B84" t="str">
        <f t="shared" si="1"/>
        <v>CS Office, Enclosed</v>
      </c>
      <c r="C84" s="61">
        <v>1.1000000000000001</v>
      </c>
      <c r="D84" s="160">
        <v>0.3</v>
      </c>
      <c r="F84" s="89" t="s">
        <v>863</v>
      </c>
      <c r="G84" s="92" t="s">
        <v>66</v>
      </c>
      <c r="H84" s="90" t="s">
        <v>902</v>
      </c>
    </row>
    <row r="85" spans="1:8">
      <c r="A85" s="267"/>
      <c r="B85" t="str">
        <f t="shared" si="1"/>
        <v>CS Office, Open Plan</v>
      </c>
      <c r="C85" s="61">
        <v>1.1000000000000001</v>
      </c>
      <c r="D85" s="160">
        <v>0.15</v>
      </c>
      <c r="F85" s="89" t="s">
        <v>863</v>
      </c>
      <c r="G85" s="88" t="str">
        <f>G84</f>
        <v>Office</v>
      </c>
      <c r="H85" s="90" t="s">
        <v>903</v>
      </c>
    </row>
    <row r="86" spans="1:8">
      <c r="A86" s="267"/>
      <c r="B86" t="str">
        <f t="shared" si="1"/>
        <v xml:space="preserve">CS Parking Area, Interior, </v>
      </c>
      <c r="C86" s="61">
        <v>0.2</v>
      </c>
      <c r="D86" s="160">
        <v>0.15</v>
      </c>
      <c r="F86" s="89" t="s">
        <v>863</v>
      </c>
      <c r="G86" s="90" t="s">
        <v>904</v>
      </c>
      <c r="H86" s="90"/>
    </row>
    <row r="87" spans="1:8">
      <c r="A87" s="267"/>
      <c r="B87" t="str">
        <f t="shared" si="1"/>
        <v xml:space="preserve">CS Pharmacy Area, </v>
      </c>
      <c r="C87" s="61">
        <v>1.2</v>
      </c>
      <c r="D87" s="160">
        <v>0.1</v>
      </c>
      <c r="F87" s="89" t="s">
        <v>863</v>
      </c>
      <c r="G87" s="90" t="s">
        <v>905</v>
      </c>
      <c r="H87" s="90"/>
    </row>
    <row r="88" spans="1:8">
      <c r="A88" s="267"/>
      <c r="B88" t="str">
        <f t="shared" si="1"/>
        <v>CS Restrooms  , Assisted Living</v>
      </c>
      <c r="C88" s="61">
        <v>1.52</v>
      </c>
      <c r="D88" s="160">
        <v>0.45</v>
      </c>
      <c r="F88" s="89" t="s">
        <v>863</v>
      </c>
      <c r="G88" s="88" t="s">
        <v>172</v>
      </c>
      <c r="H88" s="90" t="s">
        <v>880</v>
      </c>
    </row>
    <row r="89" spans="1:8">
      <c r="A89" s="267"/>
      <c r="B89" t="str">
        <f t="shared" si="1"/>
        <v>CS Restrooms  , Other</v>
      </c>
      <c r="C89" s="61">
        <v>0.9</v>
      </c>
      <c r="D89" s="160">
        <v>0.45</v>
      </c>
      <c r="F89" s="89" t="s">
        <v>863</v>
      </c>
      <c r="G89" s="88" t="s">
        <v>172</v>
      </c>
      <c r="H89" s="90" t="s">
        <v>867</v>
      </c>
    </row>
    <row r="90" spans="1:8">
      <c r="A90" s="267"/>
      <c r="B90" t="str">
        <f t="shared" si="1"/>
        <v xml:space="preserve">CS Sales Area, </v>
      </c>
      <c r="C90" s="61">
        <v>1.7</v>
      </c>
      <c r="D90" s="160">
        <v>0.1</v>
      </c>
      <c r="F90" s="89" t="s">
        <v>863</v>
      </c>
      <c r="G90" s="92" t="s">
        <v>906</v>
      </c>
    </row>
    <row r="91" spans="1:8">
      <c r="A91" s="267"/>
      <c r="B91" t="str">
        <f t="shared" si="1"/>
        <v xml:space="preserve">CS Seating Area General, </v>
      </c>
      <c r="C91" s="61">
        <v>0.68</v>
      </c>
      <c r="D91" s="160">
        <v>0.1</v>
      </c>
      <c r="F91" s="89" t="s">
        <v>863</v>
      </c>
      <c r="G91" s="92" t="s">
        <v>907</v>
      </c>
    </row>
    <row r="92" spans="1:8">
      <c r="A92" s="267"/>
      <c r="B92" t="str">
        <f t="shared" si="1"/>
        <v xml:space="preserve">CS Stairway, </v>
      </c>
      <c r="C92" s="61">
        <v>0.6</v>
      </c>
      <c r="D92" s="160">
        <v>0.75</v>
      </c>
      <c r="F92" s="89" t="s">
        <v>863</v>
      </c>
      <c r="G92" s="92" t="s">
        <v>908</v>
      </c>
    </row>
    <row r="93" spans="1:8">
      <c r="A93" s="267"/>
      <c r="B93" t="str">
        <f t="shared" si="1"/>
        <v>CS Storage, Hospital</v>
      </c>
      <c r="C93" s="61">
        <v>0.9</v>
      </c>
      <c r="D93" s="160">
        <v>0.45</v>
      </c>
      <c r="F93" s="89" t="s">
        <v>863</v>
      </c>
      <c r="G93" s="90" t="s">
        <v>909</v>
      </c>
      <c r="H93" s="90" t="s">
        <v>56</v>
      </c>
    </row>
    <row r="94" spans="1:8">
      <c r="A94" s="267"/>
      <c r="B94" t="str">
        <f t="shared" si="1"/>
        <v xml:space="preserve">CS Storage, &gt;= 50 ft² </v>
      </c>
      <c r="C94" s="61">
        <v>0.8</v>
      </c>
      <c r="D94" s="160">
        <v>0.45</v>
      </c>
      <c r="F94" s="89" t="s">
        <v>863</v>
      </c>
      <c r="G94" s="90" t="s">
        <v>909</v>
      </c>
      <c r="H94" s="90" t="s">
        <v>910</v>
      </c>
    </row>
    <row r="95" spans="1:8">
      <c r="A95" s="267"/>
      <c r="B95" t="str">
        <f t="shared" si="1"/>
        <v xml:space="preserve">CS Storage, &lt; 50 ft² </v>
      </c>
      <c r="C95" s="61">
        <v>0.8</v>
      </c>
      <c r="D95" s="160">
        <v>0.45</v>
      </c>
      <c r="F95" s="89" t="s">
        <v>863</v>
      </c>
      <c r="G95" s="90" t="s">
        <v>909</v>
      </c>
      <c r="H95" s="90" t="s">
        <v>911</v>
      </c>
    </row>
    <row r="96" spans="1:8">
      <c r="A96" s="267"/>
      <c r="B96" t="str">
        <f t="shared" si="1"/>
        <v xml:space="preserve">CS Vehicular Maintenance, </v>
      </c>
      <c r="C96" s="61">
        <v>0.7</v>
      </c>
      <c r="D96" s="160">
        <v>0.1</v>
      </c>
      <c r="F96" s="89" t="s">
        <v>863</v>
      </c>
      <c r="G96" s="90" t="s">
        <v>912</v>
      </c>
      <c r="H96" s="90"/>
    </row>
    <row r="97" spans="1:8">
      <c r="A97" s="267"/>
      <c r="B97" t="str">
        <f t="shared" si="1"/>
        <v xml:space="preserve">CS Workshop, </v>
      </c>
      <c r="C97" s="61">
        <v>1.9</v>
      </c>
      <c r="D97" s="160">
        <v>0.1</v>
      </c>
      <c r="F97" s="89" t="s">
        <v>863</v>
      </c>
      <c r="G97" s="90" t="s">
        <v>84</v>
      </c>
    </row>
    <row r="98" spans="1:8">
      <c r="A98" s="268" t="s">
        <v>913</v>
      </c>
      <c r="B98" t="str">
        <f t="shared" si="1"/>
        <v>SS Assisted Living, Chapel</v>
      </c>
      <c r="C98" s="61">
        <v>2.77</v>
      </c>
      <c r="D98" s="160">
        <v>0.1</v>
      </c>
      <c r="F98" s="89" t="s">
        <v>914</v>
      </c>
      <c r="G98" s="90" t="s">
        <v>880</v>
      </c>
      <c r="H98" s="90" t="s">
        <v>915</v>
      </c>
    </row>
    <row r="99" spans="1:8">
      <c r="A99" s="268"/>
      <c r="B99" t="str">
        <f t="shared" si="1"/>
        <v>SS Assisted Living, Recreation Room</v>
      </c>
      <c r="C99" s="61">
        <v>3.02</v>
      </c>
      <c r="D99" s="160">
        <v>0.1</v>
      </c>
      <c r="F99" s="89" t="s">
        <v>914</v>
      </c>
      <c r="G99" s="90" t="s">
        <v>880</v>
      </c>
      <c r="H99" s="90" t="s">
        <v>916</v>
      </c>
    </row>
    <row r="100" spans="1:8">
      <c r="A100" s="268"/>
      <c r="B100" t="str">
        <f t="shared" si="1"/>
        <v xml:space="preserve">SS Convention Center, Exhibit Space  </v>
      </c>
      <c r="C100" s="61">
        <v>1.3</v>
      </c>
      <c r="D100" s="160">
        <v>0.35</v>
      </c>
      <c r="F100" s="89" t="s">
        <v>914</v>
      </c>
      <c r="G100" s="88" t="s">
        <v>37</v>
      </c>
      <c r="H100" s="90" t="s">
        <v>917</v>
      </c>
    </row>
    <row r="101" spans="1:8">
      <c r="A101" s="268"/>
      <c r="B101" t="str">
        <f t="shared" ref="B101:B136" si="2">F101&amp;" "&amp;G101&amp;", "&amp;H101</f>
        <v xml:space="preserve">SS Dormitory, Living Quarters  </v>
      </c>
      <c r="C101" s="61">
        <v>1.1100000000000001</v>
      </c>
      <c r="D101" s="160">
        <v>0.1</v>
      </c>
      <c r="F101" s="89" t="s">
        <v>914</v>
      </c>
      <c r="G101" s="92" t="s">
        <v>44</v>
      </c>
      <c r="H101" s="90" t="s">
        <v>918</v>
      </c>
    </row>
    <row r="102" spans="1:8">
      <c r="A102" s="268"/>
      <c r="B102" t="str">
        <f t="shared" si="2"/>
        <v xml:space="preserve">SS Fire Station, Sleeping Quarters  </v>
      </c>
      <c r="C102" s="61">
        <v>0.3</v>
      </c>
      <c r="D102" s="160">
        <v>0.1</v>
      </c>
      <c r="F102" s="89" t="s">
        <v>914</v>
      </c>
      <c r="G102" s="92" t="s">
        <v>50</v>
      </c>
      <c r="H102" s="90" t="s">
        <v>919</v>
      </c>
    </row>
    <row r="103" spans="1:8">
      <c r="A103" s="268"/>
      <c r="B103" t="str">
        <f t="shared" si="2"/>
        <v xml:space="preserve">SS Gymnasium/Fitness Center, Exercise Area  </v>
      </c>
      <c r="C103" s="61">
        <v>0.9</v>
      </c>
      <c r="D103" s="160">
        <v>0.35</v>
      </c>
      <c r="E103" s="27"/>
      <c r="F103" s="89" t="s">
        <v>914</v>
      </c>
      <c r="G103" s="88" t="s">
        <v>920</v>
      </c>
      <c r="H103" s="90" t="s">
        <v>921</v>
      </c>
    </row>
    <row r="104" spans="1:8">
      <c r="A104" s="268"/>
      <c r="B104" t="str">
        <f t="shared" si="2"/>
        <v xml:space="preserve">SS Gymnasium/Fitness Center, Playing Area  </v>
      </c>
      <c r="C104" s="61">
        <v>1.4</v>
      </c>
      <c r="D104" s="160">
        <v>0.35</v>
      </c>
      <c r="F104" s="89" t="s">
        <v>914</v>
      </c>
      <c r="G104" s="88" t="s">
        <v>920</v>
      </c>
      <c r="H104" s="90" t="s">
        <v>922</v>
      </c>
    </row>
    <row r="105" spans="1:8">
      <c r="A105" s="268"/>
      <c r="B105" t="str">
        <f t="shared" si="2"/>
        <v>SS Healthcare, Emergency Room</v>
      </c>
      <c r="C105" s="61">
        <v>2.7</v>
      </c>
      <c r="D105" s="160">
        <v>0.1</v>
      </c>
      <c r="F105" s="89" t="s">
        <v>914</v>
      </c>
      <c r="G105" s="92" t="s">
        <v>901</v>
      </c>
      <c r="H105" s="90" t="s">
        <v>923</v>
      </c>
    </row>
    <row r="106" spans="1:8">
      <c r="A106" s="268"/>
      <c r="B106" t="str">
        <f t="shared" si="2"/>
        <v xml:space="preserve">SS Healthcare, Exam/Treatment  </v>
      </c>
      <c r="C106" s="61">
        <v>1.5</v>
      </c>
      <c r="D106" s="160">
        <v>0.1</v>
      </c>
      <c r="F106" s="89" t="s">
        <v>914</v>
      </c>
      <c r="G106" s="88" t="str">
        <f>G105</f>
        <v>Healthcare</v>
      </c>
      <c r="H106" s="90" t="s">
        <v>924</v>
      </c>
    </row>
    <row r="107" spans="1:8">
      <c r="A107" s="268"/>
      <c r="B107" t="str">
        <f t="shared" si="2"/>
        <v>SS Healthcare, Supply Room</v>
      </c>
      <c r="C107" s="61">
        <v>1.4</v>
      </c>
      <c r="D107" s="160">
        <v>0.45</v>
      </c>
      <c r="F107" s="89" t="s">
        <v>914</v>
      </c>
      <c r="G107" s="88" t="str">
        <f t="shared" ref="G107:G113" si="3">G106</f>
        <v>Healthcare</v>
      </c>
      <c r="H107" s="90" t="s">
        <v>925</v>
      </c>
    </row>
    <row r="108" spans="1:8">
      <c r="A108" s="268"/>
      <c r="B108" t="str">
        <f t="shared" si="2"/>
        <v xml:space="preserve">SS Healthcare, Nursery  </v>
      </c>
      <c r="C108" s="61">
        <v>0.6</v>
      </c>
      <c r="D108" s="160">
        <v>0.1</v>
      </c>
      <c r="F108" s="89" t="s">
        <v>914</v>
      </c>
      <c r="G108" s="88" t="str">
        <f t="shared" si="3"/>
        <v>Healthcare</v>
      </c>
      <c r="H108" s="90" t="s">
        <v>926</v>
      </c>
    </row>
    <row r="109" spans="1:8">
      <c r="A109" s="268"/>
      <c r="B109" t="str">
        <f t="shared" si="2"/>
        <v xml:space="preserve">SS Healthcare, Nurses’ Station  </v>
      </c>
      <c r="C109" s="61">
        <v>1</v>
      </c>
      <c r="D109" s="160">
        <v>0.1</v>
      </c>
      <c r="E109" s="27"/>
      <c r="F109" s="89" t="s">
        <v>914</v>
      </c>
      <c r="G109" s="88" t="str">
        <f t="shared" si="3"/>
        <v>Healthcare</v>
      </c>
      <c r="H109" s="88" t="s">
        <v>927</v>
      </c>
    </row>
    <row r="110" spans="1:8">
      <c r="A110" s="268"/>
      <c r="B110" t="str">
        <f t="shared" si="2"/>
        <v xml:space="preserve">SS Healthcare, Operating Room  </v>
      </c>
      <c r="C110" s="61">
        <v>2.2000000000000002</v>
      </c>
      <c r="D110" s="160">
        <v>0.1</v>
      </c>
      <c r="F110" s="89" t="s">
        <v>914</v>
      </c>
      <c r="G110" s="88" t="str">
        <f t="shared" si="3"/>
        <v>Healthcare</v>
      </c>
      <c r="H110" s="90" t="s">
        <v>928</v>
      </c>
    </row>
    <row r="111" spans="1:8">
      <c r="A111" s="268"/>
      <c r="B111" t="str">
        <f t="shared" si="2"/>
        <v xml:space="preserve">SS Healthcare, Patient Room  </v>
      </c>
      <c r="C111" s="61">
        <v>0.7</v>
      </c>
      <c r="D111" s="160">
        <v>0.1</v>
      </c>
      <c r="F111" s="89" t="s">
        <v>914</v>
      </c>
      <c r="G111" s="88" t="str">
        <f t="shared" si="3"/>
        <v>Healthcare</v>
      </c>
      <c r="H111" s="90" t="s">
        <v>929</v>
      </c>
    </row>
    <row r="112" spans="1:8">
      <c r="A112" s="268"/>
      <c r="B112" t="str">
        <f t="shared" si="2"/>
        <v xml:space="preserve">SS Healthcare, Physical Therapy  </v>
      </c>
      <c r="C112" s="61">
        <v>0.9</v>
      </c>
      <c r="D112" s="160">
        <v>0.1</v>
      </c>
      <c r="F112" s="89" t="s">
        <v>914</v>
      </c>
      <c r="G112" s="88" t="str">
        <f t="shared" si="3"/>
        <v>Healthcare</v>
      </c>
      <c r="H112" s="90" t="s">
        <v>930</v>
      </c>
    </row>
    <row r="113" spans="1:8">
      <c r="A113" s="268"/>
      <c r="B113" t="str">
        <f t="shared" si="2"/>
        <v>SS Healthcare, Recovery Room</v>
      </c>
      <c r="C113" s="61">
        <v>0.8</v>
      </c>
      <c r="D113" s="160">
        <v>0.1</v>
      </c>
      <c r="F113" s="89" t="s">
        <v>914</v>
      </c>
      <c r="G113" s="88" t="str">
        <f t="shared" si="3"/>
        <v>Healthcare</v>
      </c>
      <c r="H113" s="90" t="s">
        <v>931</v>
      </c>
    </row>
    <row r="114" spans="1:8">
      <c r="A114" s="268"/>
      <c r="B114" t="str">
        <f t="shared" si="2"/>
        <v xml:space="preserve">SS Library, Reading Area  </v>
      </c>
      <c r="C114" s="61">
        <v>1.2</v>
      </c>
      <c r="D114" s="160">
        <v>0.15</v>
      </c>
      <c r="F114" s="89" t="s">
        <v>914</v>
      </c>
      <c r="G114" s="90" t="s">
        <v>59</v>
      </c>
      <c r="H114" s="88" t="s">
        <v>932</v>
      </c>
    </row>
    <row r="115" spans="1:8">
      <c r="A115" s="268"/>
      <c r="B115" t="str">
        <f t="shared" si="2"/>
        <v xml:space="preserve">SS Library, Stacks  </v>
      </c>
      <c r="C115" s="61">
        <v>1.7</v>
      </c>
      <c r="D115" s="160">
        <v>0.15</v>
      </c>
      <c r="F115" s="89" t="s">
        <v>914</v>
      </c>
      <c r="G115" s="90" t="s">
        <v>59</v>
      </c>
      <c r="H115" s="88" t="s">
        <v>933</v>
      </c>
    </row>
    <row r="116" spans="1:8">
      <c r="A116" s="268"/>
      <c r="B116" t="str">
        <f t="shared" si="2"/>
        <v xml:space="preserve">SS Manufacturing Facility, Detailed Manufacturing  </v>
      </c>
      <c r="C116" s="61">
        <v>2.1</v>
      </c>
      <c r="D116" s="160">
        <v>0.1</v>
      </c>
      <c r="F116" s="89" t="s">
        <v>914</v>
      </c>
      <c r="G116" s="90" t="s">
        <v>60</v>
      </c>
      <c r="H116" s="88" t="s">
        <v>934</v>
      </c>
    </row>
    <row r="117" spans="1:8">
      <c r="A117" s="268"/>
      <c r="B117" t="str">
        <f t="shared" si="2"/>
        <v xml:space="preserve">SS Manufacturing Facility, Equipment Room  </v>
      </c>
      <c r="C117" s="61">
        <v>1.2</v>
      </c>
      <c r="D117" s="160">
        <v>0.1</v>
      </c>
      <c r="F117" s="89" t="s">
        <v>914</v>
      </c>
      <c r="G117" s="88" t="str">
        <f t="shared" ref="G117:G122" si="4">G116</f>
        <v>Manufacturing Facility</v>
      </c>
      <c r="H117" s="88" t="s">
        <v>935</v>
      </c>
    </row>
    <row r="118" spans="1:8">
      <c r="A118" s="268"/>
      <c r="B118" t="str">
        <f t="shared" si="2"/>
        <v xml:space="preserve">SS Manufacturing Facility, Extra High Bay (&gt;50 ft Floor to Ceiling Height)  </v>
      </c>
      <c r="C118" s="61">
        <v>1.32</v>
      </c>
      <c r="D118" s="160">
        <v>0.1</v>
      </c>
      <c r="F118" s="89" t="s">
        <v>914</v>
      </c>
      <c r="G118" s="88" t="str">
        <f t="shared" si="4"/>
        <v>Manufacturing Facility</v>
      </c>
      <c r="H118" s="88" t="s">
        <v>936</v>
      </c>
    </row>
    <row r="119" spans="1:8">
      <c r="A119" s="268"/>
      <c r="B119" t="str">
        <f t="shared" si="2"/>
        <v xml:space="preserve">SS Manufacturing Facility, High Bay  (25–50 ft Floor to Ceiling  Height)  </v>
      </c>
      <c r="C119" s="61">
        <v>1.7</v>
      </c>
      <c r="D119" s="160">
        <v>0.1</v>
      </c>
      <c r="F119" s="89" t="s">
        <v>914</v>
      </c>
      <c r="G119" s="88" t="str">
        <f t="shared" si="4"/>
        <v>Manufacturing Facility</v>
      </c>
      <c r="H119" s="88" t="s">
        <v>937</v>
      </c>
    </row>
    <row r="120" spans="1:8">
      <c r="A120" s="268"/>
      <c r="B120" t="str">
        <f t="shared" si="2"/>
        <v xml:space="preserve">SS Manufacturing Facility, Low Bay (&lt;25 ft Floor to Ceiling Height)  </v>
      </c>
      <c r="C120" s="61">
        <v>1.2</v>
      </c>
      <c r="D120" s="160">
        <v>0.1</v>
      </c>
      <c r="F120" s="89" t="s">
        <v>914</v>
      </c>
      <c r="G120" s="88" t="str">
        <f t="shared" si="4"/>
        <v>Manufacturing Facility</v>
      </c>
      <c r="H120" s="88" t="s">
        <v>938</v>
      </c>
    </row>
    <row r="121" spans="1:8">
      <c r="A121" s="268"/>
      <c r="B121" t="str">
        <f t="shared" si="2"/>
        <v xml:space="preserve">SS Museum, General Exhibition  </v>
      </c>
      <c r="C121" s="61">
        <v>1</v>
      </c>
      <c r="D121" s="160">
        <v>0.1</v>
      </c>
      <c r="E121" s="27"/>
      <c r="F121" s="89" t="s">
        <v>914</v>
      </c>
      <c r="G121" s="90" t="s">
        <v>532</v>
      </c>
      <c r="H121" s="88" t="s">
        <v>939</v>
      </c>
    </row>
    <row r="122" spans="1:8">
      <c r="A122" s="268"/>
      <c r="B122" t="str">
        <f t="shared" si="2"/>
        <v xml:space="preserve">SS Museum, Restoration  </v>
      </c>
      <c r="C122" s="61">
        <v>1.7</v>
      </c>
      <c r="D122" s="160">
        <v>0.1</v>
      </c>
      <c r="E122" s="27"/>
      <c r="F122" s="89" t="s">
        <v>914</v>
      </c>
      <c r="G122" s="88" t="str">
        <f t="shared" si="4"/>
        <v>Museum</v>
      </c>
      <c r="H122" s="88" t="s">
        <v>940</v>
      </c>
    </row>
    <row r="123" spans="1:8">
      <c r="A123" s="268"/>
      <c r="B123" t="str">
        <f t="shared" si="2"/>
        <v xml:space="preserve">SS Post Office, Sorting Area  </v>
      </c>
      <c r="C123" s="61">
        <v>1.2</v>
      </c>
      <c r="D123" s="160">
        <v>0.1</v>
      </c>
      <c r="F123" s="89" t="s">
        <v>914</v>
      </c>
      <c r="G123" s="91" t="s">
        <v>73</v>
      </c>
      <c r="H123" s="90" t="s">
        <v>941</v>
      </c>
    </row>
    <row r="124" spans="1:8">
      <c r="A124" s="268"/>
      <c r="B124" t="str">
        <f t="shared" si="2"/>
        <v>SS Religious Building, Fellowship Hall</v>
      </c>
      <c r="C124" s="61">
        <v>0.9</v>
      </c>
      <c r="D124" s="160">
        <v>0.1</v>
      </c>
      <c r="F124" s="89" t="s">
        <v>914</v>
      </c>
      <c r="G124" s="92" t="s">
        <v>74</v>
      </c>
      <c r="H124" s="90" t="s">
        <v>942</v>
      </c>
    </row>
    <row r="125" spans="1:8">
      <c r="A125" s="268"/>
      <c r="B125" t="str">
        <f t="shared" si="2"/>
        <v>SS Religious Building, Worship/Pulpit/Choir</v>
      </c>
      <c r="C125" s="61">
        <v>2.4</v>
      </c>
      <c r="D125" s="160">
        <v>0.1</v>
      </c>
      <c r="F125" s="89" t="s">
        <v>914</v>
      </c>
      <c r="G125" s="92" t="s">
        <v>74</v>
      </c>
      <c r="H125" s="90" t="s">
        <v>943</v>
      </c>
    </row>
    <row r="126" spans="1:8">
      <c r="A126" s="268"/>
      <c r="B126" t="str">
        <f t="shared" si="2"/>
        <v xml:space="preserve">SS Retail, Dressing/Fitting Room  </v>
      </c>
      <c r="C126" s="61">
        <v>0.89</v>
      </c>
      <c r="D126" s="160">
        <v>0.1</v>
      </c>
      <c r="F126" s="89" t="s">
        <v>914</v>
      </c>
      <c r="G126" s="92" t="s">
        <v>68</v>
      </c>
      <c r="H126" s="90" t="s">
        <v>944</v>
      </c>
    </row>
    <row r="127" spans="1:8">
      <c r="A127" s="268"/>
      <c r="B127" t="str">
        <f t="shared" si="2"/>
        <v xml:space="preserve">SS Retail, Mall Concourse  </v>
      </c>
      <c r="C127" s="61">
        <v>1.7</v>
      </c>
      <c r="D127" s="160">
        <v>0.1</v>
      </c>
      <c r="F127" s="89" t="s">
        <v>914</v>
      </c>
      <c r="G127" s="88" t="str">
        <f t="shared" ref="G127:G134" si="5">G126</f>
        <v>Retail</v>
      </c>
      <c r="H127" s="90" t="s">
        <v>945</v>
      </c>
    </row>
    <row r="128" spans="1:8">
      <c r="A128" s="268"/>
      <c r="B128" t="str">
        <f t="shared" si="2"/>
        <v xml:space="preserve">SS Sports Arena Playing Area, Class I </v>
      </c>
      <c r="C128" s="61">
        <v>4.6100000000000003</v>
      </c>
      <c r="D128" s="160">
        <v>0.1</v>
      </c>
      <c r="F128" s="89" t="s">
        <v>914</v>
      </c>
      <c r="G128" s="90" t="s">
        <v>946</v>
      </c>
      <c r="H128" s="90" t="s">
        <v>947</v>
      </c>
    </row>
    <row r="129" spans="1:8">
      <c r="A129" s="268"/>
      <c r="B129" t="str">
        <f t="shared" si="2"/>
        <v xml:space="preserve">SS Sports Arena Playing Area, Class II </v>
      </c>
      <c r="C129" s="61">
        <v>3.01</v>
      </c>
      <c r="D129" s="160">
        <v>0.1</v>
      </c>
      <c r="F129" s="89" t="s">
        <v>914</v>
      </c>
      <c r="G129" s="88" t="str">
        <f t="shared" si="5"/>
        <v>Sports Arena Playing Area</v>
      </c>
      <c r="H129" s="90" t="s">
        <v>948</v>
      </c>
    </row>
    <row r="130" spans="1:8">
      <c r="A130" s="268"/>
      <c r="B130" t="str">
        <f t="shared" si="2"/>
        <v xml:space="preserve">SS Sports Arena Playing Area, Class III </v>
      </c>
      <c r="C130" s="61">
        <v>2.2599999999999998</v>
      </c>
      <c r="D130" s="160">
        <v>0.1</v>
      </c>
      <c r="E130" s="27"/>
      <c r="F130" s="89" t="s">
        <v>914</v>
      </c>
      <c r="G130" s="88" t="str">
        <f t="shared" si="5"/>
        <v>Sports Arena Playing Area</v>
      </c>
      <c r="H130" s="90" t="s">
        <v>949</v>
      </c>
    </row>
    <row r="131" spans="1:8">
      <c r="A131" s="268"/>
      <c r="B131" t="str">
        <f t="shared" si="2"/>
        <v>SS Sports Arena Playing Area, Class IV</v>
      </c>
      <c r="C131" s="61">
        <v>1.5</v>
      </c>
      <c r="D131" s="160">
        <v>0.1</v>
      </c>
      <c r="F131" s="89" t="s">
        <v>914</v>
      </c>
      <c r="G131" s="88" t="str">
        <f t="shared" si="5"/>
        <v>Sports Arena Playing Area</v>
      </c>
      <c r="H131" s="90" t="s">
        <v>950</v>
      </c>
    </row>
    <row r="132" spans="1:8">
      <c r="A132" s="268"/>
      <c r="B132" t="str">
        <f t="shared" si="2"/>
        <v xml:space="preserve">SS Transportation, Baggage/Carousel Area  </v>
      </c>
      <c r="C132" s="61">
        <v>1</v>
      </c>
      <c r="D132" s="160">
        <v>0.1</v>
      </c>
      <c r="F132" s="89" t="s">
        <v>914</v>
      </c>
      <c r="G132" s="88" t="s">
        <v>81</v>
      </c>
      <c r="H132" s="90" t="s">
        <v>951</v>
      </c>
    </row>
    <row r="133" spans="1:8">
      <c r="A133" s="268"/>
      <c r="B133" t="str">
        <f t="shared" si="2"/>
        <v>SS Transportation, Concourse</v>
      </c>
      <c r="C133" s="61">
        <v>0.6</v>
      </c>
      <c r="D133" s="160">
        <v>0.1</v>
      </c>
      <c r="F133" s="89" t="s">
        <v>914</v>
      </c>
      <c r="G133" s="88" t="str">
        <f t="shared" si="5"/>
        <v>Transportation</v>
      </c>
      <c r="H133" s="90" t="s">
        <v>952</v>
      </c>
    </row>
    <row r="134" spans="1:8">
      <c r="A134" s="268"/>
      <c r="B134" t="str">
        <f t="shared" si="2"/>
        <v>SS Transportation, Ticket Counter</v>
      </c>
      <c r="C134" s="61">
        <v>1.5</v>
      </c>
      <c r="D134" s="160">
        <v>0.1</v>
      </c>
      <c r="F134" s="89" t="s">
        <v>914</v>
      </c>
      <c r="G134" s="88" t="str">
        <f t="shared" si="5"/>
        <v>Transportation</v>
      </c>
      <c r="H134" s="90" t="s">
        <v>953</v>
      </c>
    </row>
    <row r="135" spans="1:8">
      <c r="A135" s="268"/>
      <c r="B135" t="str">
        <f t="shared" si="2"/>
        <v>SS Warehouse, Medium/Bulky Items on Pallets</v>
      </c>
      <c r="C135" s="61">
        <v>0.9</v>
      </c>
      <c r="D135" s="160">
        <v>0.15</v>
      </c>
      <c r="F135" s="89" t="s">
        <v>914</v>
      </c>
      <c r="G135" s="90" t="s">
        <v>82</v>
      </c>
      <c r="H135" s="90" t="s">
        <v>954</v>
      </c>
    </row>
    <row r="136" spans="1:8">
      <c r="A136" s="268"/>
      <c r="B136" t="str">
        <f t="shared" si="2"/>
        <v>SS Warehouse, Smaller Hand Carried Items</v>
      </c>
      <c r="C136" s="61">
        <v>1.4</v>
      </c>
      <c r="D136" s="160">
        <v>0.15</v>
      </c>
      <c r="F136" s="89" t="s">
        <v>914</v>
      </c>
      <c r="G136" s="90" t="s">
        <v>82</v>
      </c>
      <c r="H136" s="90" t="s">
        <v>955</v>
      </c>
    </row>
    <row r="164" spans="3:10">
      <c r="C164"/>
      <c r="D164" s="162"/>
      <c r="F164"/>
      <c r="G164"/>
      <c r="H164" s="88" t="s">
        <v>185</v>
      </c>
      <c r="I164" s="26">
        <v>0.69</v>
      </c>
      <c r="J164" s="26">
        <v>10</v>
      </c>
    </row>
    <row r="165" spans="3:10">
      <c r="C165"/>
      <c r="D165" s="162"/>
      <c r="F165"/>
      <c r="G165"/>
      <c r="H165" s="88" t="s">
        <v>186</v>
      </c>
      <c r="I165" s="26">
        <v>0.63</v>
      </c>
      <c r="J165" s="26">
        <v>6</v>
      </c>
    </row>
  </sheetData>
  <mergeCells count="4">
    <mergeCell ref="A34:A97"/>
    <mergeCell ref="A98:A136"/>
    <mergeCell ref="A2:A32"/>
    <mergeCell ref="F1:G1"/>
  </mergeCells>
  <conditionalFormatting sqref="I164:J165">
    <cfRule type="cellIs" dxfId="5" priority="6" stopIfTrue="1" operator="equal">
      <formula>"n.a."</formula>
    </cfRule>
  </conditionalFormatting>
  <conditionalFormatting sqref="C1:C1048576">
    <cfRule type="cellIs" priority="2" operator="equal">
      <formula>0</formula>
    </cfRule>
  </conditionalFormatting>
  <conditionalFormatting sqref="D1:D1048576">
    <cfRule type="cellIs" dxfId="4" priority="1" operator="equal">
      <formula>"n.a."</formula>
    </cfRule>
  </conditionalFormatting>
  <pageMargins left="0.7" right="0.7" top="0.75" bottom="0.75" header="0.3" footer="0.3"/>
  <pageSetup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169"/>
  <sheetViews>
    <sheetView workbookViewId="0">
      <pane ySplit="1" topLeftCell="A2" activePane="bottomLeft" state="frozen"/>
      <selection pane="bottomLeft" activeCell="C14" sqref="C14"/>
    </sheetView>
  </sheetViews>
  <sheetFormatPr defaultRowHeight="12.75"/>
  <cols>
    <col min="1" max="1" width="4.42578125" customWidth="1"/>
    <col min="2" max="2" width="44.140625" customWidth="1"/>
    <col min="3" max="3" width="9.140625" style="2"/>
    <col min="4" max="4" width="15.5703125" style="23" customWidth="1"/>
    <col min="5" max="5" width="32.140625" customWidth="1"/>
    <col min="6" max="6" width="6.5703125" style="87" customWidth="1"/>
    <col min="7" max="7" width="32.140625" style="88" customWidth="1"/>
    <col min="8" max="8" width="36.140625" style="88" customWidth="1"/>
    <col min="9" max="10" width="11" customWidth="1"/>
  </cols>
  <sheetData>
    <row r="1" spans="1:8" s="121" customFormat="1" ht="14.25" customHeight="1">
      <c r="B1" s="121" t="s">
        <v>853</v>
      </c>
      <c r="C1" s="125" t="s">
        <v>956</v>
      </c>
      <c r="D1" s="123" t="s">
        <v>957</v>
      </c>
      <c r="E1" s="121" t="s">
        <v>394</v>
      </c>
      <c r="F1" s="122" t="s">
        <v>856</v>
      </c>
      <c r="G1" s="124"/>
      <c r="H1" s="124"/>
    </row>
    <row r="2" spans="1:8">
      <c r="A2" s="271" t="s">
        <v>958</v>
      </c>
      <c r="B2" t="str">
        <f>F2&amp;" "&amp;G2</f>
        <v>BA Automotive Facility</v>
      </c>
      <c r="C2" s="61">
        <v>0.82</v>
      </c>
      <c r="D2" s="72" t="s">
        <v>34</v>
      </c>
      <c r="F2" s="89" t="s">
        <v>858</v>
      </c>
      <c r="G2" s="88" t="s">
        <v>464</v>
      </c>
    </row>
    <row r="3" spans="1:8">
      <c r="A3" s="271"/>
      <c r="B3" t="str">
        <f t="shared" ref="B3:B34" si="0">F3&amp;" "&amp;G3</f>
        <v>BA Convention Center</v>
      </c>
      <c r="C3" s="61">
        <v>1.08</v>
      </c>
      <c r="D3" s="72" t="s">
        <v>34</v>
      </c>
      <c r="F3" s="89" t="s">
        <v>858</v>
      </c>
      <c r="G3" s="88" t="s">
        <v>37</v>
      </c>
    </row>
    <row r="4" spans="1:8">
      <c r="A4" s="271"/>
      <c r="B4" t="str">
        <f t="shared" si="0"/>
        <v>BA Courthouse</v>
      </c>
      <c r="C4" s="61">
        <v>1.05</v>
      </c>
      <c r="D4" s="72" t="s">
        <v>34</v>
      </c>
      <c r="F4" s="89" t="s">
        <v>858</v>
      </c>
      <c r="G4" s="90" t="s">
        <v>475</v>
      </c>
    </row>
    <row r="5" spans="1:8">
      <c r="A5" s="271"/>
      <c r="B5" t="str">
        <f t="shared" si="0"/>
        <v>BA Dining: Bar Lounge/Leisure</v>
      </c>
      <c r="C5" s="61">
        <v>0.99</v>
      </c>
      <c r="D5" s="72" t="s">
        <v>34</v>
      </c>
      <c r="F5" s="89" t="s">
        <v>858</v>
      </c>
      <c r="G5" s="88" t="s">
        <v>859</v>
      </c>
    </row>
    <row r="6" spans="1:8">
      <c r="A6" s="271"/>
      <c r="B6" t="str">
        <f t="shared" si="0"/>
        <v>BA Dining: Cafeteria/Fast Food</v>
      </c>
      <c r="C6" s="61">
        <v>0.9</v>
      </c>
      <c r="D6" s="72" t="s">
        <v>34</v>
      </c>
      <c r="F6" s="89" t="s">
        <v>858</v>
      </c>
      <c r="G6" s="88" t="s">
        <v>486</v>
      </c>
    </row>
    <row r="7" spans="1:8">
      <c r="A7" s="271"/>
      <c r="B7" t="str">
        <f t="shared" si="0"/>
        <v>BA Dining: Family</v>
      </c>
      <c r="C7" s="61">
        <v>0.89</v>
      </c>
      <c r="D7" s="72" t="s">
        <v>34</v>
      </c>
      <c r="F7" s="89" t="s">
        <v>858</v>
      </c>
      <c r="G7" s="88" t="s">
        <v>489</v>
      </c>
    </row>
    <row r="8" spans="1:8">
      <c r="A8" s="271"/>
      <c r="B8" t="str">
        <f t="shared" si="0"/>
        <v>BA Dormitory</v>
      </c>
      <c r="C8" s="61">
        <v>0.61</v>
      </c>
      <c r="D8" s="72" t="s">
        <v>34</v>
      </c>
      <c r="F8" s="89" t="s">
        <v>858</v>
      </c>
      <c r="G8" s="88" t="s">
        <v>44</v>
      </c>
    </row>
    <row r="9" spans="1:8">
      <c r="A9" s="271"/>
      <c r="B9" t="str">
        <f t="shared" si="0"/>
        <v>BA Exercise Center</v>
      </c>
      <c r="C9" s="61">
        <v>0.88</v>
      </c>
      <c r="D9" s="72" t="s">
        <v>34</v>
      </c>
      <c r="F9" s="89" t="s">
        <v>858</v>
      </c>
      <c r="G9" s="88" t="s">
        <v>49</v>
      </c>
    </row>
    <row r="10" spans="1:8">
      <c r="A10" s="271"/>
      <c r="B10" t="str">
        <f t="shared" si="0"/>
        <v>BA Fire Station</v>
      </c>
      <c r="C10" s="61">
        <v>0.71</v>
      </c>
      <c r="D10" s="72" t="s">
        <v>34</v>
      </c>
      <c r="F10" s="89" t="s">
        <v>858</v>
      </c>
      <c r="G10" s="88" t="s">
        <v>50</v>
      </c>
    </row>
    <row r="11" spans="1:8">
      <c r="A11" s="271"/>
      <c r="B11" t="str">
        <f t="shared" si="0"/>
        <v>BA Gymnasium</v>
      </c>
      <c r="C11" s="61">
        <v>1</v>
      </c>
      <c r="D11" s="72" t="s">
        <v>34</v>
      </c>
      <c r="F11" s="89" t="s">
        <v>858</v>
      </c>
      <c r="G11" s="88" t="s">
        <v>53</v>
      </c>
    </row>
    <row r="12" spans="1:8">
      <c r="A12" s="271"/>
      <c r="B12" t="str">
        <f t="shared" si="0"/>
        <v>BA Healthcare Clinic</v>
      </c>
      <c r="C12" s="61">
        <v>0.87</v>
      </c>
      <c r="D12" s="72" t="s">
        <v>34</v>
      </c>
      <c r="F12" s="89" t="s">
        <v>858</v>
      </c>
      <c r="G12" s="90" t="s">
        <v>860</v>
      </c>
    </row>
    <row r="13" spans="1:8">
      <c r="A13" s="271"/>
      <c r="B13" t="str">
        <f t="shared" si="0"/>
        <v>BA Hospital</v>
      </c>
      <c r="C13" s="61">
        <v>1.21</v>
      </c>
      <c r="D13" s="72" t="s">
        <v>34</v>
      </c>
      <c r="F13" s="89" t="s">
        <v>858</v>
      </c>
      <c r="G13" s="88" t="s">
        <v>56</v>
      </c>
    </row>
    <row r="14" spans="1:8">
      <c r="A14" s="271"/>
      <c r="B14" t="str">
        <f t="shared" si="0"/>
        <v xml:space="preserve">BA Hotel </v>
      </c>
      <c r="C14" s="61">
        <v>1</v>
      </c>
      <c r="D14" s="72" t="s">
        <v>34</v>
      </c>
      <c r="F14" s="89" t="s">
        <v>858</v>
      </c>
      <c r="G14" s="88" t="s">
        <v>57</v>
      </c>
    </row>
    <row r="15" spans="1:8">
      <c r="A15" s="271"/>
      <c r="B15" t="str">
        <f t="shared" si="0"/>
        <v>BA Library</v>
      </c>
      <c r="C15" s="61">
        <v>1.18</v>
      </c>
      <c r="D15" s="72" t="s">
        <v>34</v>
      </c>
      <c r="F15" s="89" t="s">
        <v>858</v>
      </c>
      <c r="G15" s="88" t="s">
        <v>59</v>
      </c>
    </row>
    <row r="16" spans="1:8">
      <c r="A16" s="271"/>
      <c r="B16" t="str">
        <f t="shared" si="0"/>
        <v>BA Manufacturing Facility</v>
      </c>
      <c r="C16" s="61">
        <v>1.1100000000000001</v>
      </c>
      <c r="D16" s="72" t="s">
        <v>34</v>
      </c>
      <c r="F16" s="89" t="s">
        <v>858</v>
      </c>
      <c r="G16" s="88" t="s">
        <v>60</v>
      </c>
    </row>
    <row r="17" spans="1:7" customFormat="1">
      <c r="A17" s="271"/>
      <c r="B17" t="str">
        <f t="shared" si="0"/>
        <v>BA Motel</v>
      </c>
      <c r="C17" s="61">
        <v>0.88</v>
      </c>
      <c r="D17" s="72" t="s">
        <v>34</v>
      </c>
      <c r="F17" s="89" t="s">
        <v>858</v>
      </c>
      <c r="G17" s="88" t="s">
        <v>61</v>
      </c>
    </row>
    <row r="18" spans="1:7" customFormat="1">
      <c r="A18" s="271"/>
      <c r="B18" t="str">
        <f t="shared" si="0"/>
        <v>BA Motion Picture Theater</v>
      </c>
      <c r="C18" s="61">
        <v>0.83</v>
      </c>
      <c r="D18" s="72" t="s">
        <v>34</v>
      </c>
      <c r="F18" s="89" t="s">
        <v>858</v>
      </c>
      <c r="G18" s="88" t="s">
        <v>524</v>
      </c>
    </row>
    <row r="19" spans="1:7" customFormat="1">
      <c r="A19" s="271"/>
      <c r="B19" t="str">
        <f t="shared" si="0"/>
        <v>BA Multifamily</v>
      </c>
      <c r="C19" s="61">
        <v>0.6</v>
      </c>
      <c r="D19" s="72" t="s">
        <v>34</v>
      </c>
      <c r="F19" s="89" t="s">
        <v>858</v>
      </c>
      <c r="G19" s="90" t="s">
        <v>528</v>
      </c>
    </row>
    <row r="20" spans="1:7" customFormat="1">
      <c r="A20" s="271"/>
      <c r="B20" t="str">
        <f t="shared" si="0"/>
        <v>BA Museum</v>
      </c>
      <c r="C20" s="61">
        <v>1.06</v>
      </c>
      <c r="D20" s="72" t="s">
        <v>34</v>
      </c>
      <c r="F20" s="89" t="s">
        <v>858</v>
      </c>
      <c r="G20" s="88" t="s">
        <v>532</v>
      </c>
    </row>
    <row r="21" spans="1:7" customFormat="1">
      <c r="A21" s="271"/>
      <c r="B21" t="str">
        <f t="shared" si="0"/>
        <v>BA Office</v>
      </c>
      <c r="C21" s="61">
        <v>0.9</v>
      </c>
      <c r="D21" s="72" t="s">
        <v>34</v>
      </c>
      <c r="F21" s="89" t="s">
        <v>858</v>
      </c>
      <c r="G21" s="88" t="s">
        <v>66</v>
      </c>
    </row>
    <row r="22" spans="1:7" customFormat="1">
      <c r="A22" s="271"/>
      <c r="B22" t="str">
        <f t="shared" si="0"/>
        <v>BA Parking Garage</v>
      </c>
      <c r="C22" s="61">
        <v>0.25</v>
      </c>
      <c r="D22" s="72" t="s">
        <v>34</v>
      </c>
      <c r="F22" s="89" t="s">
        <v>858</v>
      </c>
      <c r="G22" s="88" t="s">
        <v>67</v>
      </c>
    </row>
    <row r="23" spans="1:7" customFormat="1">
      <c r="A23" s="271"/>
      <c r="B23" t="str">
        <f t="shared" si="0"/>
        <v>BA Penitentiary</v>
      </c>
      <c r="C23" s="61">
        <v>0.97</v>
      </c>
      <c r="D23" s="72" t="s">
        <v>34</v>
      </c>
      <c r="F23" s="89" t="s">
        <v>858</v>
      </c>
      <c r="G23" s="88" t="s">
        <v>70</v>
      </c>
    </row>
    <row r="24" spans="1:7" customFormat="1">
      <c r="A24" s="271"/>
      <c r="B24" t="str">
        <f t="shared" si="0"/>
        <v>BA Performing Arts Theater</v>
      </c>
      <c r="C24" s="61">
        <v>1.36</v>
      </c>
      <c r="D24" s="72" t="s">
        <v>34</v>
      </c>
      <c r="F24" s="89" t="s">
        <v>858</v>
      </c>
      <c r="G24" s="88" t="s">
        <v>542</v>
      </c>
    </row>
    <row r="25" spans="1:7" customFormat="1">
      <c r="A25" s="271"/>
      <c r="B25" t="str">
        <f t="shared" si="0"/>
        <v>BA Police Station</v>
      </c>
      <c r="C25" s="61">
        <v>0.96</v>
      </c>
      <c r="D25" s="72" t="s">
        <v>34</v>
      </c>
      <c r="F25" s="89" t="s">
        <v>858</v>
      </c>
      <c r="G25" s="90" t="s">
        <v>72</v>
      </c>
    </row>
    <row r="26" spans="1:7" customFormat="1">
      <c r="A26" s="271"/>
      <c r="B26" t="str">
        <f t="shared" si="0"/>
        <v>BA Post Office</v>
      </c>
      <c r="C26" s="61">
        <v>0.87</v>
      </c>
      <c r="D26" s="72" t="s">
        <v>34</v>
      </c>
      <c r="F26" s="89" t="s">
        <v>858</v>
      </c>
      <c r="G26" s="88" t="s">
        <v>73</v>
      </c>
    </row>
    <row r="27" spans="1:7" customFormat="1">
      <c r="A27" s="271"/>
      <c r="B27" t="str">
        <f t="shared" si="0"/>
        <v>BA Religious Building</v>
      </c>
      <c r="C27" s="61">
        <v>1.05</v>
      </c>
      <c r="D27" s="72" t="s">
        <v>34</v>
      </c>
      <c r="F27" s="89" t="s">
        <v>858</v>
      </c>
      <c r="G27" s="88" t="s">
        <v>74</v>
      </c>
    </row>
    <row r="28" spans="1:7" customFormat="1">
      <c r="A28" s="271"/>
      <c r="B28" t="str">
        <f t="shared" si="0"/>
        <v>BA Retail</v>
      </c>
      <c r="C28" s="61">
        <v>1.4</v>
      </c>
      <c r="D28" s="72" t="s">
        <v>34</v>
      </c>
      <c r="F28" s="89" t="s">
        <v>858</v>
      </c>
      <c r="G28" s="88" t="s">
        <v>68</v>
      </c>
    </row>
    <row r="29" spans="1:7" customFormat="1">
      <c r="A29" s="271"/>
      <c r="B29" t="str">
        <f t="shared" si="0"/>
        <v>BA School/University</v>
      </c>
      <c r="C29" s="61">
        <v>0.99</v>
      </c>
      <c r="D29" s="72" t="s">
        <v>34</v>
      </c>
      <c r="F29" s="89" t="s">
        <v>858</v>
      </c>
      <c r="G29" s="88" t="s">
        <v>77</v>
      </c>
    </row>
    <row r="30" spans="1:7" customFormat="1">
      <c r="A30" s="271"/>
      <c r="B30" t="str">
        <f t="shared" si="0"/>
        <v>BA Sports Arena</v>
      </c>
      <c r="C30" s="61">
        <v>0.78</v>
      </c>
      <c r="D30" s="72" t="s">
        <v>34</v>
      </c>
      <c r="F30" s="89" t="s">
        <v>858</v>
      </c>
      <c r="G30" s="88" t="s">
        <v>79</v>
      </c>
    </row>
    <row r="31" spans="1:7" customFormat="1">
      <c r="A31" s="271"/>
      <c r="B31" t="str">
        <f t="shared" si="0"/>
        <v>BA Town Hall</v>
      </c>
      <c r="C31" s="61">
        <v>0.92</v>
      </c>
      <c r="D31" s="72" t="s">
        <v>34</v>
      </c>
      <c r="F31" s="89" t="s">
        <v>858</v>
      </c>
      <c r="G31" s="88" t="s">
        <v>80</v>
      </c>
    </row>
    <row r="32" spans="1:7" customFormat="1">
      <c r="A32" s="271"/>
      <c r="B32" t="str">
        <f t="shared" si="0"/>
        <v>BA Transportation</v>
      </c>
      <c r="C32" s="61">
        <v>0.77</v>
      </c>
      <c r="D32" s="72" t="s">
        <v>34</v>
      </c>
      <c r="F32" s="89" t="s">
        <v>858</v>
      </c>
      <c r="G32" s="88" t="s">
        <v>81</v>
      </c>
    </row>
    <row r="33" spans="1:8">
      <c r="A33" s="271"/>
      <c r="B33" t="str">
        <f t="shared" si="0"/>
        <v>BA Warehouse</v>
      </c>
      <c r="C33" s="61">
        <v>0.66</v>
      </c>
      <c r="D33" s="72" t="s">
        <v>34</v>
      </c>
      <c r="F33" s="89" t="s">
        <v>858</v>
      </c>
      <c r="G33" s="88" t="s">
        <v>82</v>
      </c>
    </row>
    <row r="34" spans="1:8">
      <c r="A34" s="71"/>
      <c r="B34" t="str">
        <f t="shared" si="0"/>
        <v>BA Workshop</v>
      </c>
      <c r="C34" s="61">
        <v>1.2</v>
      </c>
      <c r="D34" s="72" t="s">
        <v>34</v>
      </c>
      <c r="F34" s="89" t="s">
        <v>858</v>
      </c>
      <c r="G34" s="88" t="s">
        <v>84</v>
      </c>
    </row>
    <row r="35" spans="1:8">
      <c r="A35" s="272" t="s">
        <v>959</v>
      </c>
      <c r="B35" t="str">
        <f>F35&amp;" "&amp;G35&amp;" "&amp;H35</f>
        <v>CS Atrium First 40 ft in Height</v>
      </c>
      <c r="C35" s="74" t="s">
        <v>87</v>
      </c>
      <c r="D35" s="72" t="s">
        <v>34</v>
      </c>
      <c r="E35" s="27"/>
      <c r="F35" s="89" t="s">
        <v>863</v>
      </c>
      <c r="G35" s="88" t="s">
        <v>869</v>
      </c>
      <c r="H35" s="90" t="s">
        <v>960</v>
      </c>
    </row>
    <row r="36" spans="1:8">
      <c r="A36" s="273"/>
      <c r="B36" t="str">
        <f t="shared" ref="B36:B100" si="1">F36&amp;" "&amp;G36&amp;" "&amp;H36</f>
        <v>CS Atrium Height Above 40 ft</v>
      </c>
      <c r="C36" s="74" t="s">
        <v>89</v>
      </c>
      <c r="D36" s="72" t="s">
        <v>34</v>
      </c>
      <c r="E36" s="27"/>
      <c r="F36" s="89" t="s">
        <v>863</v>
      </c>
      <c r="G36" s="88" t="str">
        <f>G35</f>
        <v>Atrium</v>
      </c>
      <c r="H36" s="90" t="s">
        <v>961</v>
      </c>
    </row>
    <row r="37" spans="1:8">
      <c r="A37" s="273"/>
      <c r="B37" t="str">
        <f t="shared" si="1"/>
        <v xml:space="preserve">CS Audience Seating Permanent Auditorium  </v>
      </c>
      <c r="C37" s="61">
        <v>0.79</v>
      </c>
      <c r="D37" s="72">
        <v>6</v>
      </c>
      <c r="F37" s="89" t="s">
        <v>863</v>
      </c>
      <c r="G37" s="90" t="s">
        <v>962</v>
      </c>
      <c r="H37" s="90" t="s">
        <v>963</v>
      </c>
    </row>
    <row r="38" spans="1:8">
      <c r="A38" s="273"/>
      <c r="B38" t="str">
        <f t="shared" si="1"/>
        <v xml:space="preserve">CS Audience Seating Permanent Motion Picture Theater  </v>
      </c>
      <c r="C38" s="61">
        <v>2.4300000000000002</v>
      </c>
      <c r="D38" s="72">
        <v>8</v>
      </c>
      <c r="F38" s="89" t="s">
        <v>863</v>
      </c>
      <c r="G38" s="88" t="str">
        <f t="shared" ref="G38:G39" si="2">G37</f>
        <v>Audience Seating Permanent</v>
      </c>
      <c r="H38" s="90" t="s">
        <v>898</v>
      </c>
    </row>
    <row r="39" spans="1:8">
      <c r="A39" s="273"/>
      <c r="B39" t="str">
        <f t="shared" si="1"/>
        <v xml:space="preserve">CS Audience Seating Permanent Performing Arts Theater  </v>
      </c>
      <c r="C39" s="61">
        <v>1.1399999999999999</v>
      </c>
      <c r="D39" s="72">
        <v>4</v>
      </c>
      <c r="F39" s="89" t="s">
        <v>863</v>
      </c>
      <c r="G39" s="88" t="str">
        <f t="shared" si="2"/>
        <v>Audience Seating Permanent</v>
      </c>
      <c r="H39" s="90" t="s">
        <v>899</v>
      </c>
    </row>
    <row r="40" spans="1:8">
      <c r="A40" s="273"/>
      <c r="B40" t="str">
        <f t="shared" si="1"/>
        <v xml:space="preserve">CS Classroom/Lecture/Training   </v>
      </c>
      <c r="C40" s="61">
        <v>1.24</v>
      </c>
      <c r="D40" s="72">
        <v>4</v>
      </c>
      <c r="F40" s="89" t="s">
        <v>863</v>
      </c>
      <c r="G40" s="88" t="s">
        <v>95</v>
      </c>
    </row>
    <row r="41" spans="1:8">
      <c r="A41" s="273"/>
      <c r="B41" t="str">
        <f t="shared" si="1"/>
        <v xml:space="preserve">CS Conference/Meeting/Multipurpose   </v>
      </c>
      <c r="C41" s="61">
        <v>1.23</v>
      </c>
      <c r="D41" s="72">
        <v>6</v>
      </c>
      <c r="F41" s="89" t="s">
        <v>863</v>
      </c>
      <c r="G41" s="88" t="s">
        <v>97</v>
      </c>
    </row>
    <row r="42" spans="1:8">
      <c r="A42" s="273"/>
      <c r="B42" t="str">
        <f t="shared" si="1"/>
        <v xml:space="preserve">CS Corridor/Transition   </v>
      </c>
      <c r="C42" s="61">
        <v>0.66</v>
      </c>
      <c r="D42" s="72" t="s">
        <v>101</v>
      </c>
      <c r="F42" s="89" t="s">
        <v>863</v>
      </c>
      <c r="G42" s="88" t="s">
        <v>100</v>
      </c>
    </row>
    <row r="43" spans="1:8">
      <c r="A43" s="273"/>
      <c r="B43" t="str">
        <f t="shared" si="1"/>
        <v>CS Dining Area General</v>
      </c>
      <c r="C43" s="61">
        <v>0.65</v>
      </c>
      <c r="D43" s="72">
        <v>4</v>
      </c>
      <c r="F43" s="89" t="s">
        <v>863</v>
      </c>
      <c r="G43" s="92" t="s">
        <v>884</v>
      </c>
      <c r="H43" s="90" t="s">
        <v>964</v>
      </c>
    </row>
    <row r="44" spans="1:8">
      <c r="A44" s="273"/>
      <c r="B44" t="str">
        <f t="shared" si="1"/>
        <v xml:space="preserve">CS Dining Area Bar Lounge/Leisure Dining  </v>
      </c>
      <c r="C44" s="61">
        <v>1.31</v>
      </c>
      <c r="D44" s="72">
        <v>4</v>
      </c>
      <c r="F44" s="89" t="s">
        <v>863</v>
      </c>
      <c r="G44" s="88" t="str">
        <f>G43</f>
        <v>Dining Area</v>
      </c>
      <c r="H44" s="90" t="s">
        <v>965</v>
      </c>
    </row>
    <row r="45" spans="1:8">
      <c r="A45" s="273"/>
      <c r="B45" t="str">
        <f t="shared" si="1"/>
        <v xml:space="preserve">CS Dining Area Family Dining  </v>
      </c>
      <c r="C45" s="61">
        <v>0.89</v>
      </c>
      <c r="D45" s="72">
        <v>4</v>
      </c>
      <c r="F45" s="89" t="s">
        <v>863</v>
      </c>
      <c r="G45" s="88" t="str">
        <f>G44</f>
        <v>Dining Area</v>
      </c>
      <c r="H45" s="90" t="s">
        <v>887</v>
      </c>
    </row>
    <row r="46" spans="1:8">
      <c r="A46" s="273"/>
      <c r="B46" t="str">
        <f t="shared" si="1"/>
        <v xml:space="preserve">CS Dressing/Fitting Room Performing Arts Theater   </v>
      </c>
      <c r="C46" s="61">
        <v>0.4</v>
      </c>
      <c r="D46" s="72">
        <v>6</v>
      </c>
      <c r="F46" s="89" t="s">
        <v>863</v>
      </c>
      <c r="G46" s="90" t="s">
        <v>966</v>
      </c>
    </row>
    <row r="47" spans="1:8">
      <c r="A47" s="273"/>
      <c r="B47" t="str">
        <f t="shared" si="1"/>
        <v xml:space="preserve">CS Electrical/Mechanical   </v>
      </c>
      <c r="C47" s="61">
        <v>0.95</v>
      </c>
      <c r="D47" s="72">
        <v>6</v>
      </c>
      <c r="F47" s="89" t="s">
        <v>863</v>
      </c>
      <c r="G47" s="88" t="s">
        <v>110</v>
      </c>
    </row>
    <row r="48" spans="1:8">
      <c r="A48" s="273"/>
      <c r="B48" t="str">
        <f t="shared" si="1"/>
        <v xml:space="preserve">CS Food Preparation   </v>
      </c>
      <c r="C48" s="61">
        <v>0.99</v>
      </c>
      <c r="D48" s="72">
        <v>6</v>
      </c>
      <c r="F48" s="89" t="s">
        <v>863</v>
      </c>
      <c r="G48" s="88" t="s">
        <v>114</v>
      </c>
    </row>
    <row r="49" spans="1:8">
      <c r="A49" s="273"/>
      <c r="B49" t="str">
        <f t="shared" si="1"/>
        <v xml:space="preserve">CS Laboratory Classrooms  </v>
      </c>
      <c r="C49" s="61">
        <v>1.28</v>
      </c>
      <c r="D49" s="72">
        <v>6</v>
      </c>
      <c r="F49" s="89" t="s">
        <v>863</v>
      </c>
      <c r="G49" s="92" t="s">
        <v>892</v>
      </c>
      <c r="H49" s="90" t="s">
        <v>893</v>
      </c>
    </row>
    <row r="50" spans="1:8">
      <c r="A50" s="273"/>
      <c r="B50" t="str">
        <f t="shared" si="1"/>
        <v xml:space="preserve">CS Laboratory Medical/Industrial/Research  </v>
      </c>
      <c r="C50" s="61">
        <v>1.81</v>
      </c>
      <c r="D50" s="72">
        <v>6</v>
      </c>
      <c r="F50" s="89" t="s">
        <v>863</v>
      </c>
      <c r="G50" s="88" t="str">
        <f>G49</f>
        <v>Laboratory</v>
      </c>
      <c r="H50" s="90" t="s">
        <v>967</v>
      </c>
    </row>
    <row r="51" spans="1:8">
      <c r="A51" s="273"/>
      <c r="B51" t="str">
        <f t="shared" si="1"/>
        <v>CS Lobby General</v>
      </c>
      <c r="C51" s="61">
        <v>0.9</v>
      </c>
      <c r="D51" s="72">
        <v>4</v>
      </c>
      <c r="F51" s="89" t="s">
        <v>863</v>
      </c>
      <c r="G51" s="92" t="s">
        <v>896</v>
      </c>
      <c r="H51" s="90" t="s">
        <v>964</v>
      </c>
    </row>
    <row r="52" spans="1:8">
      <c r="A52" s="273"/>
      <c r="B52" t="str">
        <f t="shared" si="1"/>
        <v xml:space="preserve">CS Lobby Elevator  </v>
      </c>
      <c r="C52" s="61">
        <v>0.64</v>
      </c>
      <c r="D52" s="72">
        <v>6</v>
      </c>
      <c r="F52" s="89" t="s">
        <v>863</v>
      </c>
      <c r="G52" s="88" t="str">
        <f>G51</f>
        <v>Lobby</v>
      </c>
      <c r="H52" s="90" t="s">
        <v>897</v>
      </c>
    </row>
    <row r="53" spans="1:8">
      <c r="A53" s="273"/>
      <c r="B53" t="str">
        <f t="shared" si="1"/>
        <v xml:space="preserve">CS Lobby Motion Picture Theater  </v>
      </c>
      <c r="C53" s="61">
        <v>2</v>
      </c>
      <c r="D53" s="72">
        <v>6</v>
      </c>
      <c r="F53" s="89" t="s">
        <v>863</v>
      </c>
      <c r="G53" s="88" t="str">
        <f>G52</f>
        <v>Lobby</v>
      </c>
      <c r="H53" s="90" t="s">
        <v>898</v>
      </c>
    </row>
    <row r="54" spans="1:8">
      <c r="A54" s="273"/>
      <c r="B54" t="str">
        <f t="shared" si="1"/>
        <v xml:space="preserve">CS Lobby Performing Arts Theater  </v>
      </c>
      <c r="C54" s="61">
        <v>0.52</v>
      </c>
      <c r="D54" s="72">
        <v>4</v>
      </c>
      <c r="F54" s="89" t="s">
        <v>863</v>
      </c>
      <c r="G54" s="88" t="str">
        <f>G53</f>
        <v>Lobby</v>
      </c>
      <c r="H54" s="90" t="s">
        <v>899</v>
      </c>
    </row>
    <row r="55" spans="1:8">
      <c r="A55" s="273"/>
      <c r="B55" t="str">
        <f t="shared" si="1"/>
        <v xml:space="preserve">CS Locker Room   </v>
      </c>
      <c r="C55" s="61">
        <v>0.75</v>
      </c>
      <c r="D55" s="72">
        <v>6</v>
      </c>
      <c r="F55" s="89" t="s">
        <v>863</v>
      </c>
      <c r="G55" s="88" t="s">
        <v>149</v>
      </c>
    </row>
    <row r="56" spans="1:8">
      <c r="A56" s="273"/>
      <c r="B56" t="str">
        <f t="shared" si="1"/>
        <v xml:space="preserve">CS Lounge/Recreation   </v>
      </c>
      <c r="C56" s="61">
        <v>0.73</v>
      </c>
      <c r="D56" s="72">
        <v>4</v>
      </c>
      <c r="F56" s="89" t="s">
        <v>863</v>
      </c>
      <c r="G56" s="88" t="s">
        <v>150</v>
      </c>
    </row>
    <row r="57" spans="1:8">
      <c r="A57" s="273"/>
      <c r="B57" t="str">
        <f t="shared" si="1"/>
        <v>CS Office Enclosed</v>
      </c>
      <c r="C57" s="61">
        <v>1.1100000000000001</v>
      </c>
      <c r="D57" s="72">
        <v>8</v>
      </c>
      <c r="F57" s="89" t="s">
        <v>863</v>
      </c>
      <c r="G57" s="92" t="s">
        <v>66</v>
      </c>
      <c r="H57" s="90" t="s">
        <v>902</v>
      </c>
    </row>
    <row r="58" spans="1:8">
      <c r="A58" s="273"/>
      <c r="B58" t="str">
        <f t="shared" si="1"/>
        <v>CS Office Open Plan</v>
      </c>
      <c r="C58" s="61">
        <v>0.98</v>
      </c>
      <c r="D58" s="72">
        <v>4</v>
      </c>
      <c r="F58" s="89" t="s">
        <v>863</v>
      </c>
      <c r="G58" s="88" t="str">
        <f>G57</f>
        <v>Office</v>
      </c>
      <c r="H58" s="90" t="s">
        <v>903</v>
      </c>
    </row>
    <row r="59" spans="1:8">
      <c r="A59" s="273"/>
      <c r="B59" t="str">
        <f t="shared" si="1"/>
        <v xml:space="preserve">CS Restrooms   </v>
      </c>
      <c r="C59" s="61">
        <v>0.98</v>
      </c>
      <c r="D59" s="72">
        <v>8</v>
      </c>
      <c r="F59" s="89" t="s">
        <v>863</v>
      </c>
      <c r="G59" s="88" t="s">
        <v>172</v>
      </c>
    </row>
    <row r="60" spans="1:8">
      <c r="A60" s="273"/>
      <c r="B60" t="str">
        <f t="shared" si="1"/>
        <v xml:space="preserve">CS Sales Area </v>
      </c>
      <c r="C60" s="61">
        <v>1.68</v>
      </c>
      <c r="D60" s="72">
        <v>6</v>
      </c>
      <c r="F60" s="89" t="s">
        <v>863</v>
      </c>
      <c r="G60" s="92" t="s">
        <v>906</v>
      </c>
    </row>
    <row r="61" spans="1:8">
      <c r="A61" s="273"/>
      <c r="B61" t="str">
        <f t="shared" si="1"/>
        <v xml:space="preserve">CS Stairway </v>
      </c>
      <c r="C61" s="61">
        <v>0.69</v>
      </c>
      <c r="D61" s="72">
        <v>10</v>
      </c>
      <c r="F61" s="89" t="s">
        <v>863</v>
      </c>
      <c r="G61" s="92" t="s">
        <v>908</v>
      </c>
    </row>
    <row r="62" spans="1:8">
      <c r="A62" s="273"/>
      <c r="B62" t="str">
        <f t="shared" si="1"/>
        <v xml:space="preserve">CS Storage   </v>
      </c>
      <c r="C62" s="61">
        <v>0.63</v>
      </c>
      <c r="D62" s="72">
        <v>6</v>
      </c>
      <c r="F62" s="89" t="s">
        <v>863</v>
      </c>
      <c r="G62" s="88" t="s">
        <v>187</v>
      </c>
    </row>
    <row r="63" spans="1:8">
      <c r="A63" s="273"/>
      <c r="B63" t="str">
        <f t="shared" si="1"/>
        <v xml:space="preserve">CS Workshop, General </v>
      </c>
      <c r="C63" s="61">
        <v>1.59</v>
      </c>
      <c r="D63" s="72">
        <v>6</v>
      </c>
      <c r="F63" s="89" t="s">
        <v>863</v>
      </c>
      <c r="G63" s="88" t="s">
        <v>195</v>
      </c>
    </row>
    <row r="64" spans="1:8">
      <c r="A64" s="274" t="s">
        <v>968</v>
      </c>
      <c r="B64" t="str">
        <f t="shared" si="1"/>
        <v>SS Automotive Service/Repair</v>
      </c>
      <c r="C64" s="61">
        <v>0.67</v>
      </c>
      <c r="D64" s="72">
        <v>4</v>
      </c>
      <c r="F64" s="89" t="s">
        <v>914</v>
      </c>
      <c r="G64" s="88" t="s">
        <v>969</v>
      </c>
      <c r="H64" s="90" t="s">
        <v>970</v>
      </c>
    </row>
    <row r="65" spans="1:8">
      <c r="A65" s="275"/>
      <c r="B65" t="str">
        <f t="shared" si="1"/>
        <v xml:space="preserve">SS Bank/Office Banking Activity Area  </v>
      </c>
      <c r="C65" s="61">
        <v>1.38</v>
      </c>
      <c r="D65" s="72">
        <v>6</v>
      </c>
      <c r="F65" s="89" t="s">
        <v>914</v>
      </c>
      <c r="G65" s="88" t="s">
        <v>971</v>
      </c>
      <c r="H65" s="90" t="s">
        <v>972</v>
      </c>
    </row>
    <row r="66" spans="1:8">
      <c r="A66" s="275"/>
      <c r="B66" t="str">
        <f t="shared" si="1"/>
        <v xml:space="preserve">SS Convention Center Audience Seating  </v>
      </c>
      <c r="C66" s="61">
        <v>0.82</v>
      </c>
      <c r="D66" s="72">
        <v>4</v>
      </c>
      <c r="F66" s="89" t="s">
        <v>914</v>
      </c>
      <c r="G66" s="88" t="s">
        <v>37</v>
      </c>
      <c r="H66" s="90" t="s">
        <v>973</v>
      </c>
    </row>
    <row r="67" spans="1:8">
      <c r="A67" s="275"/>
      <c r="B67" t="str">
        <f t="shared" si="1"/>
        <v xml:space="preserve">SS Convention Center Exhibit Space  </v>
      </c>
      <c r="C67" s="61">
        <v>1.45</v>
      </c>
      <c r="D67" s="72">
        <v>4</v>
      </c>
      <c r="F67" s="89" t="s">
        <v>914</v>
      </c>
      <c r="G67" s="88" t="str">
        <f>G66</f>
        <v>Convention Center</v>
      </c>
      <c r="H67" s="90" t="s">
        <v>917</v>
      </c>
    </row>
    <row r="68" spans="1:8">
      <c r="A68" s="275"/>
      <c r="B68" t="str">
        <f t="shared" si="1"/>
        <v xml:space="preserve">SS Courthouse/Police Station/Penitentiary Courtroom  </v>
      </c>
      <c r="C68" s="61">
        <v>1.72</v>
      </c>
      <c r="D68" s="72">
        <v>6</v>
      </c>
      <c r="F68" s="89" t="s">
        <v>914</v>
      </c>
      <c r="G68" s="91" t="s">
        <v>974</v>
      </c>
      <c r="H68" s="90" t="s">
        <v>975</v>
      </c>
    </row>
    <row r="69" spans="1:8">
      <c r="A69" s="275"/>
      <c r="B69" t="str">
        <f t="shared" si="1"/>
        <v xml:space="preserve">SS Courthouse/Police Station/Penitentiary Confinement Cells  </v>
      </c>
      <c r="C69" s="61">
        <v>1.1000000000000001</v>
      </c>
      <c r="D69" s="72">
        <v>6</v>
      </c>
      <c r="F69" s="89" t="s">
        <v>914</v>
      </c>
      <c r="G69" s="88" t="str">
        <f t="shared" ref="G69:G73" si="3">G68</f>
        <v>Courthouse/Police Station/Penitentiary</v>
      </c>
      <c r="H69" s="90" t="s">
        <v>976</v>
      </c>
    </row>
    <row r="70" spans="1:8">
      <c r="A70" s="275"/>
      <c r="B70" t="str">
        <f t="shared" si="1"/>
        <v xml:space="preserve">SS Courthouse/Police Station/Penitentiary Judges’ Chambers  </v>
      </c>
      <c r="C70" s="61">
        <v>1.17</v>
      </c>
      <c r="D70" s="72">
        <v>8</v>
      </c>
      <c r="F70" s="89" t="s">
        <v>914</v>
      </c>
      <c r="G70" s="88" t="str">
        <f t="shared" si="3"/>
        <v>Courthouse/Police Station/Penitentiary</v>
      </c>
      <c r="H70" s="90" t="s">
        <v>977</v>
      </c>
    </row>
    <row r="71" spans="1:8">
      <c r="A71" s="275"/>
      <c r="B71" t="str">
        <f t="shared" si="1"/>
        <v xml:space="preserve">SS Courthouse/Police Station/Penitentiary Penitentiary Audience Seating  </v>
      </c>
      <c r="C71" s="61">
        <v>0.43</v>
      </c>
      <c r="D71" s="72">
        <v>4</v>
      </c>
      <c r="F71" s="89" t="s">
        <v>914</v>
      </c>
      <c r="G71" s="88" t="str">
        <f t="shared" si="3"/>
        <v>Courthouse/Police Station/Penitentiary</v>
      </c>
      <c r="H71" s="88" t="s">
        <v>165</v>
      </c>
    </row>
    <row r="72" spans="1:8">
      <c r="A72" s="275"/>
      <c r="B72" t="str">
        <f t="shared" si="1"/>
        <v xml:space="preserve">SS Courthouse/Police Station/Penitentiary Penitentiary Classroom  </v>
      </c>
      <c r="C72" s="61">
        <v>1.34</v>
      </c>
      <c r="D72" s="72">
        <v>4</v>
      </c>
      <c r="F72" s="89" t="s">
        <v>914</v>
      </c>
      <c r="G72" s="88" t="str">
        <f t="shared" si="3"/>
        <v>Courthouse/Police Station/Penitentiary</v>
      </c>
      <c r="H72" s="88" t="s">
        <v>166</v>
      </c>
    </row>
    <row r="73" spans="1:8">
      <c r="A73" s="275"/>
      <c r="B73" t="str">
        <f t="shared" si="1"/>
        <v xml:space="preserve">SS Courthouse/Police Station/Penitentiary Penitentiary Dining  </v>
      </c>
      <c r="C73" s="61">
        <v>1.07</v>
      </c>
      <c r="D73" s="72">
        <v>6</v>
      </c>
      <c r="F73" s="89" t="s">
        <v>914</v>
      </c>
      <c r="G73" s="88" t="str">
        <f t="shared" si="3"/>
        <v>Courthouse/Police Station/Penitentiary</v>
      </c>
      <c r="H73" s="88" t="s">
        <v>167</v>
      </c>
    </row>
    <row r="74" spans="1:8">
      <c r="A74" s="275"/>
      <c r="B74" t="str">
        <f t="shared" si="1"/>
        <v xml:space="preserve">SS Dormitory Living Quarters  </v>
      </c>
      <c r="C74" s="61">
        <v>0.38</v>
      </c>
      <c r="D74" s="72">
        <v>8</v>
      </c>
      <c r="F74" s="89" t="s">
        <v>914</v>
      </c>
      <c r="G74" s="92" t="s">
        <v>44</v>
      </c>
      <c r="H74" s="90" t="s">
        <v>918</v>
      </c>
    </row>
    <row r="75" spans="1:8">
      <c r="A75" s="275"/>
      <c r="B75" t="str">
        <f t="shared" si="1"/>
        <v xml:space="preserve">SS Fire Stations Engine Room  </v>
      </c>
      <c r="C75" s="61">
        <v>0.56000000000000005</v>
      </c>
      <c r="D75" s="72">
        <v>4</v>
      </c>
      <c r="F75" s="89" t="s">
        <v>914</v>
      </c>
      <c r="G75" s="88" t="s">
        <v>978</v>
      </c>
      <c r="H75" s="90" t="s">
        <v>979</v>
      </c>
    </row>
    <row r="76" spans="1:8">
      <c r="A76" s="275"/>
      <c r="B76" t="str">
        <f t="shared" si="1"/>
        <v xml:space="preserve">SS Fire Stations Sleeping Quarters  </v>
      </c>
      <c r="C76" s="61">
        <v>0.25</v>
      </c>
      <c r="D76" s="72">
        <v>6</v>
      </c>
      <c r="F76" s="89" t="s">
        <v>914</v>
      </c>
      <c r="G76" s="88" t="str">
        <f>G75</f>
        <v>Fire Stations</v>
      </c>
      <c r="H76" s="90" t="s">
        <v>919</v>
      </c>
    </row>
    <row r="77" spans="1:8">
      <c r="A77" s="275"/>
      <c r="B77" t="str">
        <f t="shared" si="1"/>
        <v xml:space="preserve">SS Gymnasium/Fitness Center Fitness Area  </v>
      </c>
      <c r="C77" s="61">
        <v>0.72</v>
      </c>
      <c r="D77" s="72">
        <v>4</v>
      </c>
      <c r="E77" s="27"/>
      <c r="F77" s="89" t="s">
        <v>914</v>
      </c>
      <c r="G77" s="88" t="s">
        <v>920</v>
      </c>
      <c r="H77" s="90" t="s">
        <v>980</v>
      </c>
    </row>
    <row r="78" spans="1:8">
      <c r="A78" s="275"/>
      <c r="B78" t="str">
        <f t="shared" si="1"/>
        <v xml:space="preserve">SS Gymnasium/Fitness Center Gymnasium Audience Seating  </v>
      </c>
      <c r="C78" s="61">
        <v>0.43</v>
      </c>
      <c r="D78" s="72">
        <v>6</v>
      </c>
      <c r="F78" s="89" t="s">
        <v>914</v>
      </c>
      <c r="G78" s="88" t="str">
        <f>G77</f>
        <v>Gymnasium/Fitness Center</v>
      </c>
      <c r="H78" s="90" t="s">
        <v>981</v>
      </c>
    </row>
    <row r="79" spans="1:8">
      <c r="A79" s="275"/>
      <c r="B79" t="str">
        <f t="shared" si="1"/>
        <v xml:space="preserve">SS Gymnasium/Fitness Center Playing Area  </v>
      </c>
      <c r="C79" s="61">
        <v>1.2</v>
      </c>
      <c r="D79" s="72">
        <v>4</v>
      </c>
      <c r="F79" s="89" t="s">
        <v>914</v>
      </c>
      <c r="G79" s="88" t="str">
        <f>G78</f>
        <v>Gymnasium/Fitness Center</v>
      </c>
      <c r="H79" s="90" t="s">
        <v>922</v>
      </c>
    </row>
    <row r="80" spans="1:8">
      <c r="A80" s="275"/>
      <c r="B80" t="str">
        <f t="shared" si="1"/>
        <v xml:space="preserve">SS Hospital Corridor/Transition  </v>
      </c>
      <c r="C80" s="61">
        <v>0.89</v>
      </c>
      <c r="D80" s="72" t="s">
        <v>120</v>
      </c>
      <c r="F80" s="89" t="s">
        <v>914</v>
      </c>
      <c r="G80" s="92" t="s">
        <v>56</v>
      </c>
      <c r="H80" s="88" t="s">
        <v>100</v>
      </c>
    </row>
    <row r="81" spans="1:8">
      <c r="A81" s="275"/>
      <c r="B81" t="str">
        <f t="shared" si="1"/>
        <v xml:space="preserve">SS Hospital Emergency  </v>
      </c>
      <c r="C81" s="61">
        <v>2.2599999999999998</v>
      </c>
      <c r="D81" s="72">
        <v>6</v>
      </c>
      <c r="F81" s="89" t="s">
        <v>914</v>
      </c>
      <c r="G81" s="88" t="str">
        <f>G80</f>
        <v>Hospital</v>
      </c>
      <c r="H81" s="88" t="s">
        <v>982</v>
      </c>
    </row>
    <row r="82" spans="1:8">
      <c r="A82" s="275"/>
      <c r="B82" t="str">
        <f t="shared" si="1"/>
        <v xml:space="preserve">SS Hospital Exam/Treatment  </v>
      </c>
      <c r="C82" s="61">
        <v>1.66</v>
      </c>
      <c r="D82" s="72">
        <v>8</v>
      </c>
      <c r="F82" s="89" t="s">
        <v>914</v>
      </c>
      <c r="G82" s="88" t="str">
        <f t="shared" ref="G82:G109" si="4">G81</f>
        <v>Hospital</v>
      </c>
      <c r="H82" s="88" t="s">
        <v>924</v>
      </c>
    </row>
    <row r="83" spans="1:8">
      <c r="A83" s="275"/>
      <c r="B83" t="str">
        <f t="shared" si="1"/>
        <v xml:space="preserve">SS Hospital Laundry/Washing  </v>
      </c>
      <c r="C83" s="61">
        <v>0.6</v>
      </c>
      <c r="D83" s="72">
        <v>4</v>
      </c>
      <c r="F83" s="89" t="s">
        <v>914</v>
      </c>
      <c r="G83" s="88" t="str">
        <f t="shared" si="4"/>
        <v>Hospital</v>
      </c>
      <c r="H83" s="88" t="s">
        <v>983</v>
      </c>
    </row>
    <row r="84" spans="1:8">
      <c r="A84" s="275"/>
      <c r="B84" t="str">
        <f t="shared" si="1"/>
        <v xml:space="preserve">SS Hospital Lounge/Recreation  </v>
      </c>
      <c r="C84" s="61">
        <v>1.07</v>
      </c>
      <c r="D84" s="72">
        <v>6</v>
      </c>
      <c r="F84" s="89" t="s">
        <v>914</v>
      </c>
      <c r="G84" s="88" t="str">
        <f t="shared" si="4"/>
        <v>Hospital</v>
      </c>
      <c r="H84" s="88" t="s">
        <v>150</v>
      </c>
    </row>
    <row r="85" spans="1:8">
      <c r="A85" s="275"/>
      <c r="B85" t="str">
        <f t="shared" si="1"/>
        <v xml:space="preserve">SS Hospital Medical Supply  </v>
      </c>
      <c r="C85" s="61">
        <v>1.27</v>
      </c>
      <c r="D85" s="72">
        <v>6</v>
      </c>
      <c r="F85" s="89" t="s">
        <v>914</v>
      </c>
      <c r="G85" s="88" t="str">
        <f t="shared" si="4"/>
        <v>Hospital</v>
      </c>
      <c r="H85" s="88" t="s">
        <v>984</v>
      </c>
    </row>
    <row r="86" spans="1:8">
      <c r="A86" s="275"/>
      <c r="B86" t="str">
        <f t="shared" si="1"/>
        <v xml:space="preserve">SS Hospital Nursery  </v>
      </c>
      <c r="C86" s="61">
        <v>0.88</v>
      </c>
      <c r="D86" s="72">
        <v>6</v>
      </c>
      <c r="E86" s="27"/>
      <c r="F86" s="89" t="s">
        <v>914</v>
      </c>
      <c r="G86" s="88" t="str">
        <f t="shared" si="4"/>
        <v>Hospital</v>
      </c>
      <c r="H86" s="88" t="s">
        <v>926</v>
      </c>
    </row>
    <row r="87" spans="1:8">
      <c r="A87" s="275"/>
      <c r="B87" t="str">
        <f t="shared" si="1"/>
        <v xml:space="preserve">SS Hospital Nurses’ Station  </v>
      </c>
      <c r="C87" s="61">
        <v>0.87</v>
      </c>
      <c r="D87" s="72">
        <v>6</v>
      </c>
      <c r="F87" s="89" t="s">
        <v>914</v>
      </c>
      <c r="G87" s="88" t="str">
        <f t="shared" si="4"/>
        <v>Hospital</v>
      </c>
      <c r="H87" s="88" t="s">
        <v>927</v>
      </c>
    </row>
    <row r="88" spans="1:8">
      <c r="A88" s="275"/>
      <c r="B88" t="str">
        <f t="shared" si="1"/>
        <v xml:space="preserve">SS Hospital Operating Room  </v>
      </c>
      <c r="C88" s="61">
        <v>1.89</v>
      </c>
      <c r="D88" s="72">
        <v>6</v>
      </c>
      <c r="F88" s="89" t="s">
        <v>914</v>
      </c>
      <c r="G88" s="88" t="str">
        <f t="shared" si="4"/>
        <v>Hospital</v>
      </c>
      <c r="H88" s="88" t="s">
        <v>928</v>
      </c>
    </row>
    <row r="89" spans="1:8">
      <c r="A89" s="275"/>
      <c r="B89" t="str">
        <f t="shared" si="1"/>
        <v xml:space="preserve">SS Hospital Patient Room  </v>
      </c>
      <c r="C89" s="61">
        <v>0.62</v>
      </c>
      <c r="D89" s="72">
        <v>6</v>
      </c>
      <c r="F89" s="89" t="s">
        <v>914</v>
      </c>
      <c r="G89" s="88" t="str">
        <f t="shared" si="4"/>
        <v>Hospital</v>
      </c>
      <c r="H89" s="90" t="s">
        <v>929</v>
      </c>
    </row>
    <row r="90" spans="1:8">
      <c r="A90" s="275"/>
      <c r="B90" t="str">
        <f t="shared" si="1"/>
        <v xml:space="preserve">SS Hospital Pharmacy  </v>
      </c>
      <c r="C90" s="61">
        <v>1.1399999999999999</v>
      </c>
      <c r="D90" s="72">
        <v>6</v>
      </c>
      <c r="F90" s="89" t="s">
        <v>914</v>
      </c>
      <c r="G90" s="88" t="str">
        <f t="shared" si="4"/>
        <v>Hospital</v>
      </c>
      <c r="H90" s="88" t="s">
        <v>985</v>
      </c>
    </row>
    <row r="91" spans="1:8">
      <c r="A91" s="275"/>
      <c r="B91" t="str">
        <f t="shared" si="1"/>
        <v xml:space="preserve">SS Hospital Physical Therapy  </v>
      </c>
      <c r="C91" s="61">
        <v>0.91</v>
      </c>
      <c r="D91" s="72">
        <v>6</v>
      </c>
      <c r="F91" s="89" t="s">
        <v>914</v>
      </c>
      <c r="G91" s="88" t="str">
        <f t="shared" si="4"/>
        <v>Hospital</v>
      </c>
      <c r="H91" s="90" t="s">
        <v>930</v>
      </c>
    </row>
    <row r="92" spans="1:8">
      <c r="A92" s="275"/>
      <c r="B92" t="str">
        <f t="shared" si="1"/>
        <v xml:space="preserve">SS Hospital Radiology/Imaging  </v>
      </c>
      <c r="C92" s="61">
        <v>1.32</v>
      </c>
      <c r="D92" s="72">
        <v>6</v>
      </c>
      <c r="F92" s="89" t="s">
        <v>914</v>
      </c>
      <c r="G92" s="88" t="str">
        <f t="shared" si="4"/>
        <v>Hospital</v>
      </c>
      <c r="H92" s="88" t="s">
        <v>986</v>
      </c>
    </row>
    <row r="93" spans="1:8">
      <c r="A93" s="275"/>
      <c r="B93" t="str">
        <f t="shared" si="1"/>
        <v xml:space="preserve">SS Hospital Recovery  </v>
      </c>
      <c r="C93" s="61">
        <v>1.1499999999999999</v>
      </c>
      <c r="D93" s="72">
        <v>6</v>
      </c>
      <c r="F93" s="89" t="s">
        <v>914</v>
      </c>
      <c r="G93" s="88" t="str">
        <f t="shared" si="4"/>
        <v>Hospital</v>
      </c>
      <c r="H93" s="88" t="s">
        <v>987</v>
      </c>
    </row>
    <row r="94" spans="1:8">
      <c r="A94" s="275"/>
      <c r="B94" t="str">
        <f t="shared" si="1"/>
        <v xml:space="preserve">SS Hotel/Highway Lodging Hotel Dining  </v>
      </c>
      <c r="C94" s="61">
        <v>0.82</v>
      </c>
      <c r="D94" s="72">
        <v>4</v>
      </c>
      <c r="F94" s="89" t="s">
        <v>914</v>
      </c>
      <c r="G94" s="92" t="s">
        <v>988</v>
      </c>
      <c r="H94" s="88" t="s">
        <v>134</v>
      </c>
    </row>
    <row r="95" spans="1:8">
      <c r="A95" s="275"/>
      <c r="B95" t="str">
        <f t="shared" si="1"/>
        <v xml:space="preserve">SS Hotel/Highway Lodging Hotel Guest Rooms  </v>
      </c>
      <c r="C95" s="61">
        <v>1.1100000000000001</v>
      </c>
      <c r="D95" s="72">
        <v>6</v>
      </c>
      <c r="F95" s="89" t="s">
        <v>914</v>
      </c>
      <c r="G95" s="88" t="str">
        <f t="shared" si="4"/>
        <v>Hotel/Highway Lodging</v>
      </c>
      <c r="H95" s="88" t="s">
        <v>135</v>
      </c>
    </row>
    <row r="96" spans="1:8">
      <c r="A96" s="275"/>
      <c r="B96" t="str">
        <f t="shared" si="1"/>
        <v xml:space="preserve">SS Hotel/Highway Lodging Hotel Lobby  </v>
      </c>
      <c r="C96" s="61">
        <v>1.06</v>
      </c>
      <c r="D96" s="72">
        <v>4</v>
      </c>
      <c r="F96" s="89" t="s">
        <v>914</v>
      </c>
      <c r="G96" s="88" t="str">
        <f t="shared" si="4"/>
        <v>Hotel/Highway Lodging</v>
      </c>
      <c r="H96" s="88" t="s">
        <v>136</v>
      </c>
    </row>
    <row r="97" spans="1:8">
      <c r="A97" s="275"/>
      <c r="B97" t="str">
        <f t="shared" si="1"/>
        <v xml:space="preserve">SS Hotel/Highway Lodging Highway Lodging Dining  </v>
      </c>
      <c r="C97" s="61">
        <v>0.88</v>
      </c>
      <c r="D97" s="72">
        <v>4</v>
      </c>
      <c r="F97" s="89" t="s">
        <v>914</v>
      </c>
      <c r="G97" s="88" t="str">
        <f t="shared" si="4"/>
        <v>Hotel/Highway Lodging</v>
      </c>
      <c r="H97" s="88" t="s">
        <v>137</v>
      </c>
    </row>
    <row r="98" spans="1:8">
      <c r="A98" s="275"/>
      <c r="B98" t="str">
        <f t="shared" si="1"/>
        <v xml:space="preserve">SS Hotel/Highway Lodging Highway Lodging Guest Rooms  </v>
      </c>
      <c r="C98" s="61">
        <v>0.75</v>
      </c>
      <c r="D98" s="72">
        <v>6</v>
      </c>
      <c r="F98" s="89" t="s">
        <v>914</v>
      </c>
      <c r="G98" s="88" t="str">
        <f t="shared" si="4"/>
        <v>Hotel/Highway Lodging</v>
      </c>
      <c r="H98" s="88" t="s">
        <v>138</v>
      </c>
    </row>
    <row r="99" spans="1:8">
      <c r="A99" s="275"/>
      <c r="B99" t="str">
        <f t="shared" si="1"/>
        <v xml:space="preserve">SS Library Card File and Cataloging  </v>
      </c>
      <c r="C99" s="61">
        <v>0.72</v>
      </c>
      <c r="D99" s="72">
        <v>4</v>
      </c>
      <c r="F99" s="89" t="s">
        <v>914</v>
      </c>
      <c r="G99" s="92" t="s">
        <v>59</v>
      </c>
      <c r="H99" s="88" t="s">
        <v>989</v>
      </c>
    </row>
    <row r="100" spans="1:8">
      <c r="A100" s="275"/>
      <c r="B100" t="str">
        <f t="shared" si="1"/>
        <v xml:space="preserve">SS Library Reading Area  </v>
      </c>
      <c r="C100" s="61">
        <v>0.93</v>
      </c>
      <c r="D100" s="72">
        <v>4</v>
      </c>
      <c r="F100" s="89" t="s">
        <v>914</v>
      </c>
      <c r="G100" s="88" t="str">
        <f t="shared" si="4"/>
        <v>Library</v>
      </c>
      <c r="H100" s="88" t="s">
        <v>932</v>
      </c>
    </row>
    <row r="101" spans="1:8">
      <c r="A101" s="275"/>
      <c r="B101" t="str">
        <f t="shared" ref="B101:B130" si="5">F101&amp;" "&amp;G101&amp;" "&amp;H101</f>
        <v xml:space="preserve">SS Library Stacks  </v>
      </c>
      <c r="C101" s="61">
        <v>1.71</v>
      </c>
      <c r="D101" s="72">
        <v>4</v>
      </c>
      <c r="F101" s="89" t="s">
        <v>914</v>
      </c>
      <c r="G101" s="88" t="str">
        <f t="shared" si="4"/>
        <v>Library</v>
      </c>
      <c r="H101" s="88" t="s">
        <v>933</v>
      </c>
    </row>
    <row r="102" spans="1:8">
      <c r="A102" s="275"/>
      <c r="B102" t="str">
        <f t="shared" si="5"/>
        <v xml:space="preserve">SS Manufacturing Corridor/Transition  </v>
      </c>
      <c r="C102" s="61">
        <v>0.41</v>
      </c>
      <c r="D102" s="72" t="s">
        <v>120</v>
      </c>
      <c r="E102" s="27"/>
      <c r="F102" s="89" t="s">
        <v>914</v>
      </c>
      <c r="G102" s="90" t="s">
        <v>881</v>
      </c>
      <c r="H102" s="90" t="s">
        <v>100</v>
      </c>
    </row>
    <row r="103" spans="1:8">
      <c r="A103" s="275"/>
      <c r="B103" t="str">
        <f t="shared" si="5"/>
        <v xml:space="preserve">SS Manufacturing Detailed Manufacturing  </v>
      </c>
      <c r="C103" s="61">
        <v>1.29</v>
      </c>
      <c r="D103" s="72">
        <v>4</v>
      </c>
      <c r="F103" s="89" t="s">
        <v>914</v>
      </c>
      <c r="G103" s="88" t="str">
        <f t="shared" si="4"/>
        <v>Manufacturing</v>
      </c>
      <c r="H103" s="88" t="s">
        <v>934</v>
      </c>
    </row>
    <row r="104" spans="1:8">
      <c r="A104" s="275"/>
      <c r="B104" t="str">
        <f t="shared" si="5"/>
        <v xml:space="preserve">SS Manufacturing Equipment Room  </v>
      </c>
      <c r="C104" s="61">
        <v>0.95</v>
      </c>
      <c r="D104" s="72">
        <v>6</v>
      </c>
      <c r="F104" s="89" t="s">
        <v>914</v>
      </c>
      <c r="G104" s="88" t="str">
        <f t="shared" si="4"/>
        <v>Manufacturing</v>
      </c>
      <c r="H104" s="88" t="s">
        <v>935</v>
      </c>
    </row>
    <row r="105" spans="1:8">
      <c r="A105" s="275"/>
      <c r="B105" t="str">
        <f t="shared" si="5"/>
        <v xml:space="preserve">SS Manufacturing Extra High Bay (&gt;50 ft Floor to Ceiling Height)  </v>
      </c>
      <c r="C105" s="61">
        <v>1.05</v>
      </c>
      <c r="D105" s="72">
        <v>4</v>
      </c>
      <c r="F105" s="89" t="s">
        <v>914</v>
      </c>
      <c r="G105" s="88" t="str">
        <f t="shared" si="4"/>
        <v>Manufacturing</v>
      </c>
      <c r="H105" s="88" t="s">
        <v>936</v>
      </c>
    </row>
    <row r="106" spans="1:8">
      <c r="A106" s="275"/>
      <c r="B106" t="str">
        <f t="shared" si="5"/>
        <v xml:space="preserve">SS Manufacturing High Bay  (25–50 ft Floor to Ceiling  Height)  </v>
      </c>
      <c r="C106" s="61">
        <v>1.23</v>
      </c>
      <c r="D106" s="72">
        <v>4</v>
      </c>
      <c r="F106" s="89" t="s">
        <v>914</v>
      </c>
      <c r="G106" s="88" t="str">
        <f t="shared" si="4"/>
        <v>Manufacturing</v>
      </c>
      <c r="H106" s="88" t="s">
        <v>937</v>
      </c>
    </row>
    <row r="107" spans="1:8">
      <c r="A107" s="275"/>
      <c r="B107" t="str">
        <f t="shared" si="5"/>
        <v xml:space="preserve">SS Manufacturing Low Bay (&lt;25 ft Floor to Ceiling Height)  </v>
      </c>
      <c r="C107" s="61">
        <v>1.19</v>
      </c>
      <c r="D107" s="72">
        <v>4</v>
      </c>
      <c r="F107" s="89" t="s">
        <v>914</v>
      </c>
      <c r="G107" s="88" t="str">
        <f t="shared" si="4"/>
        <v>Manufacturing</v>
      </c>
      <c r="H107" s="88" t="s">
        <v>938</v>
      </c>
    </row>
    <row r="108" spans="1:8">
      <c r="A108" s="275"/>
      <c r="B108" t="str">
        <f t="shared" si="5"/>
        <v xml:space="preserve">SS Museum General Exhibition  </v>
      </c>
      <c r="C108" s="61">
        <v>1.05</v>
      </c>
      <c r="D108" s="72">
        <v>6</v>
      </c>
      <c r="E108" s="27"/>
      <c r="F108" s="89" t="s">
        <v>914</v>
      </c>
      <c r="G108" s="90" t="s">
        <v>532</v>
      </c>
      <c r="H108" s="88" t="s">
        <v>939</v>
      </c>
    </row>
    <row r="109" spans="1:8">
      <c r="A109" s="275"/>
      <c r="B109" t="str">
        <f t="shared" si="5"/>
        <v xml:space="preserve">SS Museum Restoration  </v>
      </c>
      <c r="C109" s="61">
        <v>1.02</v>
      </c>
      <c r="D109" s="72">
        <v>6</v>
      </c>
      <c r="E109" s="27"/>
      <c r="F109" s="89" t="s">
        <v>914</v>
      </c>
      <c r="G109" s="88" t="str">
        <f t="shared" si="4"/>
        <v>Museum</v>
      </c>
      <c r="H109" s="88" t="s">
        <v>940</v>
      </c>
    </row>
    <row r="110" spans="1:8">
      <c r="A110" s="275"/>
      <c r="B110" t="str">
        <f t="shared" si="5"/>
        <v xml:space="preserve">SS Parking Garage Garage Area  </v>
      </c>
      <c r="C110" s="61">
        <v>0.19</v>
      </c>
      <c r="D110" s="72">
        <v>4</v>
      </c>
      <c r="F110" s="89" t="s">
        <v>914</v>
      </c>
      <c r="G110" s="90" t="s">
        <v>67</v>
      </c>
      <c r="H110" s="90" t="s">
        <v>990</v>
      </c>
    </row>
    <row r="111" spans="1:8">
      <c r="A111" s="275"/>
      <c r="B111" t="str">
        <f t="shared" si="5"/>
        <v xml:space="preserve">SS Post Office Sorting Area  </v>
      </c>
      <c r="C111" s="61">
        <v>0.94</v>
      </c>
      <c r="D111" s="72">
        <v>4</v>
      </c>
      <c r="F111" s="89" t="s">
        <v>914</v>
      </c>
      <c r="G111" s="91" t="s">
        <v>73</v>
      </c>
      <c r="H111" s="90" t="s">
        <v>941</v>
      </c>
    </row>
    <row r="112" spans="1:8">
      <c r="A112" s="275"/>
      <c r="B112" t="str">
        <f t="shared" si="5"/>
        <v xml:space="preserve">SS Religious Buildings Audience Seating  </v>
      </c>
      <c r="C112" s="61">
        <v>1.53</v>
      </c>
      <c r="D112" s="72">
        <v>4</v>
      </c>
      <c r="E112" s="27"/>
      <c r="F112" s="89" t="s">
        <v>914</v>
      </c>
      <c r="G112" s="90" t="s">
        <v>991</v>
      </c>
      <c r="H112" s="90" t="s">
        <v>973</v>
      </c>
    </row>
    <row r="113" spans="1:8">
      <c r="A113" s="275"/>
      <c r="B113" t="str">
        <f t="shared" si="5"/>
        <v xml:space="preserve">SS Religious Buildings Fellowship Hall  </v>
      </c>
      <c r="C113" s="61">
        <v>0.64</v>
      </c>
      <c r="D113" s="72">
        <v>4</v>
      </c>
      <c r="F113" s="89" t="s">
        <v>914</v>
      </c>
      <c r="G113" s="88" t="str">
        <f t="shared" ref="G113:G130" si="6">G112</f>
        <v>Religious Buildings</v>
      </c>
      <c r="H113" s="90" t="s">
        <v>992</v>
      </c>
    </row>
    <row r="114" spans="1:8">
      <c r="A114" s="275"/>
      <c r="B114" t="str">
        <f t="shared" si="5"/>
        <v xml:space="preserve">SS Religious Buildings Worship Pulpit, Choir  </v>
      </c>
      <c r="C114" s="61">
        <v>1.53</v>
      </c>
      <c r="D114" s="72">
        <v>4</v>
      </c>
      <c r="F114" s="89" t="s">
        <v>914</v>
      </c>
      <c r="G114" s="88" t="str">
        <f t="shared" si="6"/>
        <v>Religious Buildings</v>
      </c>
      <c r="H114" s="90" t="s">
        <v>993</v>
      </c>
    </row>
    <row r="115" spans="1:8">
      <c r="A115" s="275"/>
      <c r="B115" t="str">
        <f t="shared" si="5"/>
        <v xml:space="preserve">SS Retail Dressing/Fitting Room  </v>
      </c>
      <c r="C115" s="61">
        <v>0.87</v>
      </c>
      <c r="D115" s="72">
        <v>8</v>
      </c>
      <c r="F115" s="89" t="s">
        <v>914</v>
      </c>
      <c r="G115" s="92" t="s">
        <v>68</v>
      </c>
      <c r="H115" s="90" t="s">
        <v>944</v>
      </c>
    </row>
    <row r="116" spans="1:8">
      <c r="A116" s="275"/>
      <c r="B116" t="str">
        <f t="shared" si="5"/>
        <v xml:space="preserve">SS Retail Mall Concourse  </v>
      </c>
      <c r="C116" s="61">
        <v>1.1000000000000001</v>
      </c>
      <c r="D116" s="72">
        <v>4</v>
      </c>
      <c r="F116" s="89" t="s">
        <v>914</v>
      </c>
      <c r="G116" s="88" t="str">
        <f t="shared" si="6"/>
        <v>Retail</v>
      </c>
      <c r="H116" s="90" t="s">
        <v>945</v>
      </c>
    </row>
    <row r="117" spans="1:8">
      <c r="A117" s="275"/>
      <c r="B117" t="str">
        <f t="shared" si="5"/>
        <v>SS Retail Sales Area</v>
      </c>
      <c r="C117" s="61">
        <v>1.68</v>
      </c>
      <c r="D117" s="72">
        <v>6</v>
      </c>
      <c r="F117" s="89" t="s">
        <v>914</v>
      </c>
      <c r="G117" s="88" t="str">
        <f t="shared" si="6"/>
        <v>Retail</v>
      </c>
      <c r="H117" s="90" t="s">
        <v>906</v>
      </c>
    </row>
    <row r="118" spans="1:8">
      <c r="A118" s="275"/>
      <c r="B118" t="str">
        <f t="shared" si="5"/>
        <v xml:space="preserve">SS Sports Arena Audience Seating  </v>
      </c>
      <c r="C118" s="61">
        <v>0.43</v>
      </c>
      <c r="D118" s="72">
        <v>4</v>
      </c>
      <c r="F118" s="89" t="s">
        <v>914</v>
      </c>
      <c r="G118" s="92" t="s">
        <v>79</v>
      </c>
      <c r="H118" s="88" t="s">
        <v>973</v>
      </c>
    </row>
    <row r="119" spans="1:8">
      <c r="A119" s="275"/>
      <c r="B119" t="str">
        <f t="shared" si="5"/>
        <v xml:space="preserve">SS Sports Arena Court Sports Arena—Class 1  </v>
      </c>
      <c r="C119" s="61">
        <v>0.72</v>
      </c>
      <c r="D119" s="72">
        <v>4</v>
      </c>
      <c r="F119" s="89" t="s">
        <v>914</v>
      </c>
      <c r="G119" s="88" t="str">
        <f t="shared" si="6"/>
        <v>Sports Arena</v>
      </c>
      <c r="H119" s="88" t="s">
        <v>994</v>
      </c>
    </row>
    <row r="120" spans="1:8">
      <c r="A120" s="275"/>
      <c r="B120" t="str">
        <f t="shared" si="5"/>
        <v xml:space="preserve">SS Sports Arena Court Sports Arena—Class 2  </v>
      </c>
      <c r="C120" s="61">
        <v>1.2</v>
      </c>
      <c r="D120" s="72">
        <v>4</v>
      </c>
      <c r="F120" s="89" t="s">
        <v>914</v>
      </c>
      <c r="G120" s="88" t="str">
        <f t="shared" si="6"/>
        <v>Sports Arena</v>
      </c>
      <c r="H120" s="88" t="s">
        <v>995</v>
      </c>
    </row>
    <row r="121" spans="1:8">
      <c r="A121" s="275"/>
      <c r="B121" t="str">
        <f t="shared" si="5"/>
        <v xml:space="preserve">SS Sports Arena Court Sports Arena—Class 3  </v>
      </c>
      <c r="C121" s="61">
        <v>1.92</v>
      </c>
      <c r="D121" s="72">
        <v>4</v>
      </c>
      <c r="E121" s="27"/>
      <c r="F121" s="89" t="s">
        <v>914</v>
      </c>
      <c r="G121" s="88" t="str">
        <f t="shared" si="6"/>
        <v>Sports Arena</v>
      </c>
      <c r="H121" s="88" t="s">
        <v>996</v>
      </c>
    </row>
    <row r="122" spans="1:8">
      <c r="A122" s="275"/>
      <c r="B122" t="str">
        <f t="shared" si="5"/>
        <v xml:space="preserve">SS Sports Arena Court Sports Arena—Class 4  </v>
      </c>
      <c r="C122" s="61">
        <v>3.01</v>
      </c>
      <c r="D122" s="72">
        <v>4</v>
      </c>
      <c r="F122" s="89" t="s">
        <v>914</v>
      </c>
      <c r="G122" s="88" t="str">
        <f t="shared" si="6"/>
        <v>Sports Arena</v>
      </c>
      <c r="H122" s="88" t="s">
        <v>997</v>
      </c>
    </row>
    <row r="123" spans="1:8">
      <c r="A123" s="275"/>
      <c r="B123" t="str">
        <f t="shared" si="5"/>
        <v>SS Sports Arena Indoor Sports Fields</v>
      </c>
      <c r="C123" s="61">
        <v>0.72</v>
      </c>
      <c r="D123" s="72">
        <v>4</v>
      </c>
      <c r="F123" s="89" t="s">
        <v>914</v>
      </c>
      <c r="G123" s="88" t="str">
        <f t="shared" si="6"/>
        <v>Sports Arena</v>
      </c>
      <c r="H123" s="88" t="s">
        <v>998</v>
      </c>
    </row>
    <row r="124" spans="1:8">
      <c r="A124" s="275"/>
      <c r="B124" t="str">
        <f t="shared" si="5"/>
        <v xml:space="preserve">SS Sports Arena Ring Sports Arena  </v>
      </c>
      <c r="C124" s="61">
        <v>2.68</v>
      </c>
      <c r="D124" s="72">
        <v>4</v>
      </c>
      <c r="F124" s="89" t="s">
        <v>914</v>
      </c>
      <c r="G124" s="88" t="str">
        <f t="shared" si="6"/>
        <v>Sports Arena</v>
      </c>
      <c r="H124" s="88" t="s">
        <v>999</v>
      </c>
    </row>
    <row r="125" spans="1:8">
      <c r="A125" s="275"/>
      <c r="B125" t="str">
        <f t="shared" si="5"/>
        <v xml:space="preserve">SS Transportation Air/Train/Bus—Baggage Area  </v>
      </c>
      <c r="C125" s="61">
        <v>0.76</v>
      </c>
      <c r="D125" s="72">
        <v>4</v>
      </c>
      <c r="F125" s="89" t="s">
        <v>914</v>
      </c>
      <c r="G125" s="88" t="s">
        <v>81</v>
      </c>
      <c r="H125" s="90" t="s">
        <v>1000</v>
      </c>
    </row>
    <row r="126" spans="1:8">
      <c r="A126" s="275"/>
      <c r="B126" t="str">
        <f t="shared" si="5"/>
        <v xml:space="preserve">SS Transportation Airport—Concourse  </v>
      </c>
      <c r="C126" s="61">
        <v>0.36</v>
      </c>
      <c r="D126" s="72">
        <v>4</v>
      </c>
      <c r="F126" s="89" t="s">
        <v>914</v>
      </c>
      <c r="G126" s="88" t="str">
        <f t="shared" si="6"/>
        <v>Transportation</v>
      </c>
      <c r="H126" s="88" t="s">
        <v>1001</v>
      </c>
    </row>
    <row r="127" spans="1:8">
      <c r="A127" s="275"/>
      <c r="B127" t="str">
        <f t="shared" si="5"/>
        <v xml:space="preserve">SS Transportation Audience Seating  </v>
      </c>
      <c r="C127" s="61">
        <v>0.54</v>
      </c>
      <c r="D127" s="72">
        <v>4</v>
      </c>
      <c r="F127" s="89" t="s">
        <v>914</v>
      </c>
      <c r="G127" s="88" t="str">
        <f t="shared" si="6"/>
        <v>Transportation</v>
      </c>
      <c r="H127" s="88" t="s">
        <v>973</v>
      </c>
    </row>
    <row r="128" spans="1:8">
      <c r="A128" s="275"/>
      <c r="B128" t="str">
        <f t="shared" si="5"/>
        <v xml:space="preserve">SS Transportation Terminal—Ticket Counter  </v>
      </c>
      <c r="C128" s="61">
        <v>1.08</v>
      </c>
      <c r="D128" s="72">
        <v>4</v>
      </c>
      <c r="F128" s="89" t="s">
        <v>914</v>
      </c>
      <c r="G128" s="88" t="str">
        <f t="shared" si="6"/>
        <v>Transportation</v>
      </c>
      <c r="H128" s="88" t="s">
        <v>1002</v>
      </c>
    </row>
    <row r="129" spans="1:8">
      <c r="A129" s="275"/>
      <c r="B129" t="str">
        <f t="shared" si="5"/>
        <v xml:space="preserve">SS Warehouse Fine Material Storage  </v>
      </c>
      <c r="C129" s="61">
        <v>0.95</v>
      </c>
      <c r="D129" s="72">
        <v>6</v>
      </c>
      <c r="F129" s="89" t="s">
        <v>914</v>
      </c>
      <c r="G129" s="90" t="s">
        <v>82</v>
      </c>
      <c r="H129" s="88" t="s">
        <v>1003</v>
      </c>
    </row>
    <row r="130" spans="1:8">
      <c r="A130" s="275"/>
      <c r="B130" t="str">
        <f t="shared" si="5"/>
        <v xml:space="preserve">SS Warehouse Medium/Bulky Material Storage  </v>
      </c>
      <c r="C130" s="61">
        <v>0.57999999999999996</v>
      </c>
      <c r="D130" s="72">
        <v>4</v>
      </c>
      <c r="F130" s="89" t="s">
        <v>914</v>
      </c>
      <c r="G130" s="88" t="str">
        <f t="shared" si="6"/>
        <v>Warehouse</v>
      </c>
      <c r="H130" s="88" t="s">
        <v>1004</v>
      </c>
    </row>
    <row r="132" spans="1:8">
      <c r="B132" s="45" t="s">
        <v>1005</v>
      </c>
    </row>
    <row r="133" spans="1:8">
      <c r="B133" t="s">
        <v>111</v>
      </c>
      <c r="C133" s="61">
        <v>0.95</v>
      </c>
      <c r="D133" s="72">
        <v>6</v>
      </c>
    </row>
    <row r="134" spans="1:8">
      <c r="B134" t="s">
        <v>118</v>
      </c>
      <c r="C134" s="61">
        <v>1.1100000000000001</v>
      </c>
      <c r="D134" s="72">
        <v>6</v>
      </c>
    </row>
    <row r="135" spans="1:8">
      <c r="B135" t="s">
        <v>141</v>
      </c>
      <c r="C135" s="61">
        <v>0.6</v>
      </c>
      <c r="D135" s="72">
        <v>4</v>
      </c>
    </row>
    <row r="136" spans="1:8">
      <c r="B136" t="s">
        <v>151</v>
      </c>
      <c r="C136" s="61">
        <v>0.95</v>
      </c>
      <c r="D136" s="72">
        <v>6</v>
      </c>
    </row>
    <row r="137" spans="1:8">
      <c r="B137" t="s">
        <v>160</v>
      </c>
      <c r="C137" s="61">
        <v>0.63</v>
      </c>
      <c r="D137" s="72">
        <v>6</v>
      </c>
    </row>
    <row r="138" spans="1:8">
      <c r="B138" s="27" t="s">
        <v>161</v>
      </c>
      <c r="C138" s="61">
        <v>0.63</v>
      </c>
      <c r="D138" s="72">
        <v>6</v>
      </c>
    </row>
    <row r="139" spans="1:8">
      <c r="B139" t="s">
        <v>194</v>
      </c>
      <c r="C139" s="61">
        <v>0.57999999999999996</v>
      </c>
      <c r="D139" s="72">
        <v>4</v>
      </c>
    </row>
    <row r="168" spans="8:10" customFormat="1">
      <c r="H168" s="88" t="s">
        <v>185</v>
      </c>
      <c r="I168" s="26">
        <v>0.69</v>
      </c>
      <c r="J168" s="26">
        <v>10</v>
      </c>
    </row>
    <row r="169" spans="8:10" customFormat="1">
      <c r="H169" s="88" t="s">
        <v>186</v>
      </c>
      <c r="I169" s="26">
        <v>0.63</v>
      </c>
      <c r="J169" s="26">
        <v>6</v>
      </c>
    </row>
  </sheetData>
  <sortState xmlns:xlrd2="http://schemas.microsoft.com/office/spreadsheetml/2017/richdata2" ref="H137:J143">
    <sortCondition ref="H137"/>
  </sortState>
  <mergeCells count="3">
    <mergeCell ref="A2:A33"/>
    <mergeCell ref="A35:A63"/>
    <mergeCell ref="A64:A130"/>
  </mergeCells>
  <conditionalFormatting sqref="C2:C59 I168:J169 C62:C130 C133:C139">
    <cfRule type="cellIs" dxfId="3" priority="12" stopIfTrue="1" operator="equal">
      <formula>"n.a."</formula>
    </cfRule>
  </conditionalFormatting>
  <conditionalFormatting sqref="C115">
    <cfRule type="cellIs" dxfId="2" priority="8" stopIfTrue="1" operator="equal">
      <formula>"n.a."</formula>
    </cfRule>
  </conditionalFormatting>
  <conditionalFormatting sqref="C60:C61">
    <cfRule type="cellIs" dxfId="1" priority="1" stopIfTrue="1" operator="equal">
      <formula>"n.a."</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25"/>
  <sheetViews>
    <sheetView workbookViewId="0">
      <pane ySplit="1" topLeftCell="A2" activePane="bottomLeft" state="frozen"/>
      <selection pane="bottomLeft" activeCell="D86" sqref="D86"/>
    </sheetView>
  </sheetViews>
  <sheetFormatPr defaultRowHeight="12.75"/>
  <cols>
    <col min="1" max="1" width="4.42578125" customWidth="1"/>
    <col min="2" max="2" width="44.42578125" customWidth="1"/>
    <col min="3" max="3" width="9.140625" style="77"/>
    <col min="4" max="4" width="38.7109375" customWidth="1"/>
    <col min="5" max="5" width="6.7109375" style="87" customWidth="1"/>
    <col min="6" max="7" width="32.140625" style="88" customWidth="1"/>
    <col min="8" max="8" width="36.140625" customWidth="1"/>
    <col min="11" max="11" width="41" customWidth="1"/>
  </cols>
  <sheetData>
    <row r="1" spans="1:7" s="45" customFormat="1">
      <c r="B1" s="121" t="s">
        <v>853</v>
      </c>
      <c r="C1" s="139" t="s">
        <v>956</v>
      </c>
      <c r="D1" s="45" t="s">
        <v>394</v>
      </c>
      <c r="E1" s="122" t="s">
        <v>856</v>
      </c>
      <c r="F1" s="93"/>
      <c r="G1" s="93"/>
    </row>
    <row r="2" spans="1:7">
      <c r="A2" s="271" t="s">
        <v>958</v>
      </c>
      <c r="B2" t="str">
        <f>E2&amp;" "&amp;F2</f>
        <v>BA Automotive facility</v>
      </c>
      <c r="C2" s="140">
        <v>0.9</v>
      </c>
      <c r="E2" s="89" t="s">
        <v>858</v>
      </c>
      <c r="F2" s="88" t="s">
        <v>1006</v>
      </c>
    </row>
    <row r="3" spans="1:7">
      <c r="A3" s="271"/>
      <c r="B3" t="str">
        <f t="shared" ref="B3:B33" si="0">E3&amp;" "&amp;F3</f>
        <v>BA Convention center</v>
      </c>
      <c r="C3" s="140">
        <v>1.2</v>
      </c>
      <c r="E3" s="89" t="s">
        <v>858</v>
      </c>
      <c r="F3" s="88" t="s">
        <v>1007</v>
      </c>
    </row>
    <row r="4" spans="1:7">
      <c r="A4" s="271"/>
      <c r="B4" t="str">
        <f t="shared" si="0"/>
        <v>BA Courthouse</v>
      </c>
      <c r="C4" s="140">
        <v>1.2</v>
      </c>
      <c r="E4" s="89" t="s">
        <v>858</v>
      </c>
      <c r="F4" s="88" t="s">
        <v>475</v>
      </c>
    </row>
    <row r="5" spans="1:7">
      <c r="A5" s="271"/>
      <c r="B5" t="str">
        <f t="shared" si="0"/>
        <v>BA Dining: bar lounge/leisure</v>
      </c>
      <c r="C5" s="140">
        <v>1.3</v>
      </c>
      <c r="E5" s="89" t="s">
        <v>858</v>
      </c>
      <c r="F5" s="88" t="s">
        <v>1008</v>
      </c>
    </row>
    <row r="6" spans="1:7">
      <c r="A6" s="271"/>
      <c r="B6" t="str">
        <f t="shared" si="0"/>
        <v>BA Dining: cafeteria/fast food</v>
      </c>
      <c r="C6" s="140">
        <v>1.4</v>
      </c>
      <c r="E6" s="89" t="s">
        <v>858</v>
      </c>
      <c r="F6" s="88" t="s">
        <v>1009</v>
      </c>
    </row>
    <row r="7" spans="1:7">
      <c r="A7" s="271"/>
      <c r="B7" t="str">
        <f t="shared" si="0"/>
        <v>BA Dining: family</v>
      </c>
      <c r="C7" s="140">
        <v>1.6</v>
      </c>
      <c r="E7" s="89" t="s">
        <v>858</v>
      </c>
      <c r="F7" s="88" t="s">
        <v>1010</v>
      </c>
    </row>
    <row r="8" spans="1:7">
      <c r="A8" s="271"/>
      <c r="B8" t="str">
        <f t="shared" si="0"/>
        <v>BA Dormitory</v>
      </c>
      <c r="C8" s="140">
        <v>1</v>
      </c>
      <c r="E8" s="89" t="s">
        <v>858</v>
      </c>
      <c r="F8" s="88" t="s">
        <v>44</v>
      </c>
    </row>
    <row r="9" spans="1:7">
      <c r="A9" s="271"/>
      <c r="B9" t="str">
        <f t="shared" si="0"/>
        <v>BA Exercise center</v>
      </c>
      <c r="C9" s="140">
        <v>1</v>
      </c>
      <c r="E9" s="89" t="s">
        <v>858</v>
      </c>
      <c r="F9" s="88" t="s">
        <v>1011</v>
      </c>
    </row>
    <row r="10" spans="1:7">
      <c r="A10" s="271"/>
      <c r="B10" t="str">
        <f t="shared" si="0"/>
        <v>BA Gymnasium</v>
      </c>
      <c r="C10" s="140">
        <v>1.1000000000000001</v>
      </c>
      <c r="E10" s="89" t="s">
        <v>858</v>
      </c>
      <c r="F10" s="88" t="s">
        <v>53</v>
      </c>
    </row>
    <row r="11" spans="1:7">
      <c r="A11" s="271"/>
      <c r="B11" t="str">
        <f t="shared" si="0"/>
        <v>BA Health-care clinic</v>
      </c>
      <c r="C11" s="140">
        <v>1</v>
      </c>
      <c r="E11" s="89" t="s">
        <v>858</v>
      </c>
      <c r="F11" s="88" t="s">
        <v>1012</v>
      </c>
    </row>
    <row r="12" spans="1:7">
      <c r="A12" s="271"/>
      <c r="B12" t="str">
        <f t="shared" si="0"/>
        <v xml:space="preserve">BA Hospital </v>
      </c>
      <c r="C12" s="140">
        <v>1.2</v>
      </c>
      <c r="E12" s="89" t="s">
        <v>858</v>
      </c>
      <c r="F12" s="88" t="s">
        <v>1013</v>
      </c>
    </row>
    <row r="13" spans="1:7">
      <c r="A13" s="271"/>
      <c r="B13" t="str">
        <f t="shared" si="0"/>
        <v>BA Hotel</v>
      </c>
      <c r="C13" s="140">
        <v>1</v>
      </c>
      <c r="E13" s="89" t="s">
        <v>858</v>
      </c>
      <c r="F13" s="88" t="s">
        <v>514</v>
      </c>
    </row>
    <row r="14" spans="1:7">
      <c r="A14" s="271"/>
      <c r="B14" t="str">
        <f t="shared" si="0"/>
        <v>BA Library</v>
      </c>
      <c r="C14" s="140">
        <v>1.3</v>
      </c>
      <c r="E14" s="89" t="s">
        <v>858</v>
      </c>
      <c r="F14" s="88" t="s">
        <v>59</v>
      </c>
    </row>
    <row r="15" spans="1:7">
      <c r="A15" s="271"/>
      <c r="B15" t="str">
        <f t="shared" si="0"/>
        <v>BA Manufacturing facility</v>
      </c>
      <c r="C15" s="140">
        <v>1.3</v>
      </c>
      <c r="E15" s="89" t="s">
        <v>858</v>
      </c>
      <c r="F15" s="88" t="s">
        <v>1014</v>
      </c>
    </row>
    <row r="16" spans="1:7">
      <c r="A16" s="271"/>
      <c r="B16" t="str">
        <f t="shared" si="0"/>
        <v>BA Motel</v>
      </c>
      <c r="C16" s="140">
        <v>1</v>
      </c>
      <c r="E16" s="89" t="s">
        <v>858</v>
      </c>
      <c r="F16" s="88" t="s">
        <v>61</v>
      </c>
    </row>
    <row r="17" spans="1:6">
      <c r="A17" s="271"/>
      <c r="B17" t="str">
        <f t="shared" si="0"/>
        <v>BA Motion picture theater</v>
      </c>
      <c r="C17" s="140">
        <v>1.2</v>
      </c>
      <c r="E17" s="89" t="s">
        <v>858</v>
      </c>
      <c r="F17" s="88" t="s">
        <v>1015</v>
      </c>
    </row>
    <row r="18" spans="1:6">
      <c r="A18" s="271"/>
      <c r="B18" t="str">
        <f t="shared" si="0"/>
        <v>BA Multifamily</v>
      </c>
      <c r="C18" s="140">
        <v>0.7</v>
      </c>
      <c r="E18" s="89" t="s">
        <v>858</v>
      </c>
      <c r="F18" s="88" t="s">
        <v>528</v>
      </c>
    </row>
    <row r="19" spans="1:6">
      <c r="A19" s="271"/>
      <c r="B19" t="str">
        <f t="shared" si="0"/>
        <v>BA Museum</v>
      </c>
      <c r="C19" s="140">
        <v>1.1000000000000001</v>
      </c>
      <c r="E19" s="89" t="s">
        <v>858</v>
      </c>
      <c r="F19" s="88" t="s">
        <v>532</v>
      </c>
    </row>
    <row r="20" spans="1:6">
      <c r="A20" s="271"/>
      <c r="B20" t="str">
        <f t="shared" si="0"/>
        <v>BA Office</v>
      </c>
      <c r="C20" s="140">
        <v>1</v>
      </c>
      <c r="E20" s="89" t="s">
        <v>858</v>
      </c>
      <c r="F20" s="88" t="s">
        <v>66</v>
      </c>
    </row>
    <row r="21" spans="1:6">
      <c r="A21" s="271"/>
      <c r="B21" t="str">
        <f t="shared" si="0"/>
        <v>BA Parking garage</v>
      </c>
      <c r="C21" s="140">
        <v>0.3</v>
      </c>
      <c r="E21" s="89" t="s">
        <v>858</v>
      </c>
      <c r="F21" s="88" t="s">
        <v>1016</v>
      </c>
    </row>
    <row r="22" spans="1:6">
      <c r="A22" s="271"/>
      <c r="B22" t="str">
        <f t="shared" si="0"/>
        <v>BA Penitentiary</v>
      </c>
      <c r="C22" s="140">
        <v>1</v>
      </c>
      <c r="E22" s="89" t="s">
        <v>858</v>
      </c>
      <c r="F22" s="88" t="s">
        <v>70</v>
      </c>
    </row>
    <row r="23" spans="1:6">
      <c r="A23" s="271"/>
      <c r="B23" t="str">
        <f t="shared" si="0"/>
        <v>BA Performing arts theater</v>
      </c>
      <c r="C23" s="140">
        <v>1.6</v>
      </c>
      <c r="E23" s="89" t="s">
        <v>858</v>
      </c>
      <c r="F23" s="88" t="s">
        <v>1017</v>
      </c>
    </row>
    <row r="24" spans="1:6">
      <c r="A24" s="271"/>
      <c r="B24" t="str">
        <f t="shared" si="0"/>
        <v>BA Police/fire station</v>
      </c>
      <c r="C24" s="140">
        <v>1</v>
      </c>
      <c r="E24" s="89" t="s">
        <v>858</v>
      </c>
      <c r="F24" s="88" t="s">
        <v>1018</v>
      </c>
    </row>
    <row r="25" spans="1:6">
      <c r="A25" s="271"/>
      <c r="B25" t="str">
        <f t="shared" si="0"/>
        <v>BA Post office</v>
      </c>
      <c r="C25" s="140">
        <v>1.1000000000000001</v>
      </c>
      <c r="E25" s="89" t="s">
        <v>858</v>
      </c>
      <c r="F25" s="88" t="s">
        <v>1019</v>
      </c>
    </row>
    <row r="26" spans="1:6">
      <c r="A26" s="271"/>
      <c r="B26" t="str">
        <f t="shared" si="0"/>
        <v>BA Religious building</v>
      </c>
      <c r="C26" s="140">
        <v>1.3</v>
      </c>
      <c r="E26" s="89" t="s">
        <v>858</v>
      </c>
      <c r="F26" s="88" t="s">
        <v>1020</v>
      </c>
    </row>
    <row r="27" spans="1:6">
      <c r="A27" s="271"/>
      <c r="B27" t="str">
        <f t="shared" si="0"/>
        <v>BA Retail</v>
      </c>
      <c r="C27" s="140">
        <v>1.5</v>
      </c>
      <c r="E27" s="89" t="s">
        <v>858</v>
      </c>
      <c r="F27" s="88" t="s">
        <v>68</v>
      </c>
    </row>
    <row r="28" spans="1:6">
      <c r="A28" s="271"/>
      <c r="B28" t="str">
        <f t="shared" si="0"/>
        <v>BA School/university</v>
      </c>
      <c r="C28" s="140">
        <v>1.2</v>
      </c>
      <c r="E28" s="89" t="s">
        <v>858</v>
      </c>
      <c r="F28" s="88" t="s">
        <v>1021</v>
      </c>
    </row>
    <row r="29" spans="1:6">
      <c r="A29" s="271"/>
      <c r="B29" t="str">
        <f t="shared" si="0"/>
        <v>BA Sports arena</v>
      </c>
      <c r="C29" s="140">
        <v>1.1000000000000001</v>
      </c>
      <c r="E29" s="89" t="s">
        <v>858</v>
      </c>
      <c r="F29" s="88" t="s">
        <v>1022</v>
      </c>
    </row>
    <row r="30" spans="1:6">
      <c r="A30" s="271"/>
      <c r="B30" t="str">
        <f t="shared" si="0"/>
        <v>BA Town hall</v>
      </c>
      <c r="C30" s="140">
        <v>1.1000000000000001</v>
      </c>
      <c r="E30" s="89" t="s">
        <v>858</v>
      </c>
      <c r="F30" s="88" t="s">
        <v>1023</v>
      </c>
    </row>
    <row r="31" spans="1:6">
      <c r="A31" s="271"/>
      <c r="B31" t="str">
        <f t="shared" si="0"/>
        <v>BA Transportation</v>
      </c>
      <c r="C31" s="140">
        <v>1</v>
      </c>
      <c r="E31" s="89" t="s">
        <v>858</v>
      </c>
      <c r="F31" s="88" t="s">
        <v>81</v>
      </c>
    </row>
    <row r="32" spans="1:6">
      <c r="A32" s="271"/>
      <c r="B32" t="str">
        <f t="shared" si="0"/>
        <v>BA Warehouse</v>
      </c>
      <c r="C32" s="140">
        <v>0.8</v>
      </c>
      <c r="E32" s="89" t="s">
        <v>858</v>
      </c>
      <c r="F32" s="88" t="s">
        <v>82</v>
      </c>
    </row>
    <row r="33" spans="1:7">
      <c r="A33" s="271"/>
      <c r="B33" t="str">
        <f t="shared" si="0"/>
        <v>BA Workshop</v>
      </c>
      <c r="C33" s="140">
        <v>1.4</v>
      </c>
      <c r="E33" s="89" t="s">
        <v>858</v>
      </c>
      <c r="F33" s="88" t="s">
        <v>84</v>
      </c>
    </row>
    <row r="34" spans="1:7">
      <c r="A34" s="272" t="s">
        <v>959</v>
      </c>
      <c r="B34" t="str">
        <f>E34&amp;" "&amp;F34&amp;" "&amp;G34</f>
        <v>CS Office Enclosed</v>
      </c>
      <c r="C34" s="141">
        <v>1.1000000000000001</v>
      </c>
      <c r="E34" s="89" t="s">
        <v>863</v>
      </c>
      <c r="F34" s="90" t="s">
        <v>66</v>
      </c>
      <c r="G34" s="90" t="s">
        <v>902</v>
      </c>
    </row>
    <row r="35" spans="1:7">
      <c r="A35" s="272"/>
      <c r="B35" t="str">
        <f t="shared" ref="B35:B98" si="1">E35&amp;" "&amp;F35&amp;" "&amp;G35</f>
        <v>CS Office Open Plan</v>
      </c>
      <c r="C35" s="141">
        <v>1.1000000000000001</v>
      </c>
      <c r="E35" s="89" t="s">
        <v>863</v>
      </c>
      <c r="F35" s="90" t="s">
        <v>66</v>
      </c>
      <c r="G35" s="90" t="s">
        <v>903</v>
      </c>
    </row>
    <row r="36" spans="1:7">
      <c r="A36" s="272"/>
      <c r="B36" t="str">
        <f t="shared" si="1"/>
        <v xml:space="preserve">CS Conference/Meeting/Multipurpose </v>
      </c>
      <c r="C36" s="141">
        <v>1.3</v>
      </c>
      <c r="E36" s="89" t="s">
        <v>863</v>
      </c>
      <c r="F36" s="88" t="s">
        <v>876</v>
      </c>
    </row>
    <row r="37" spans="1:7">
      <c r="A37" s="272"/>
      <c r="B37" t="str">
        <f t="shared" si="1"/>
        <v>CS Classroom/Lecture/Training General</v>
      </c>
      <c r="C37" s="141">
        <v>1.4</v>
      </c>
      <c r="E37" s="89" t="s">
        <v>863</v>
      </c>
      <c r="F37" s="88" t="s">
        <v>874</v>
      </c>
      <c r="G37" s="90" t="s">
        <v>964</v>
      </c>
    </row>
    <row r="38" spans="1:7">
      <c r="A38" s="272"/>
      <c r="B38" t="str">
        <f t="shared" si="1"/>
        <v>CS Classroom/Lecture/Training Penitentiary</v>
      </c>
      <c r="C38" s="141">
        <v>1.3</v>
      </c>
      <c r="E38" s="89" t="s">
        <v>863</v>
      </c>
      <c r="F38" s="88" t="s">
        <v>874</v>
      </c>
      <c r="G38" s="88" t="s">
        <v>70</v>
      </c>
    </row>
    <row r="39" spans="1:7">
      <c r="A39" s="272"/>
      <c r="B39" t="str">
        <f t="shared" si="1"/>
        <v>CS Lobby General</v>
      </c>
      <c r="C39" s="141">
        <v>1.3</v>
      </c>
      <c r="E39" s="89" t="s">
        <v>863</v>
      </c>
      <c r="F39" s="88" t="s">
        <v>896</v>
      </c>
      <c r="G39" s="88" t="s">
        <v>964</v>
      </c>
    </row>
    <row r="40" spans="1:7">
      <c r="A40" s="272"/>
      <c r="B40" t="str">
        <f t="shared" si="1"/>
        <v>CS Lobby Hotel</v>
      </c>
      <c r="C40" s="141">
        <v>1.1000000000000001</v>
      </c>
      <c r="E40" s="89" t="s">
        <v>863</v>
      </c>
      <c r="F40" s="88" t="s">
        <v>896</v>
      </c>
      <c r="G40" s="91" t="s">
        <v>514</v>
      </c>
    </row>
    <row r="41" spans="1:7">
      <c r="A41" s="272"/>
      <c r="B41" t="str">
        <f t="shared" si="1"/>
        <v>CS Lobby Performing Arts Theater</v>
      </c>
      <c r="C41" s="141">
        <v>3.3</v>
      </c>
      <c r="E41" s="89" t="s">
        <v>863</v>
      </c>
      <c r="F41" s="88" t="s">
        <v>896</v>
      </c>
      <c r="G41" s="91" t="s">
        <v>542</v>
      </c>
    </row>
    <row r="42" spans="1:7">
      <c r="A42" s="272"/>
      <c r="B42" t="str">
        <f t="shared" si="1"/>
        <v>CS Lobby Motion Picture Theater</v>
      </c>
      <c r="C42" s="141">
        <v>1.1000000000000001</v>
      </c>
      <c r="E42" s="89" t="s">
        <v>863</v>
      </c>
      <c r="F42" s="88" t="s">
        <v>896</v>
      </c>
      <c r="G42" s="91" t="s">
        <v>524</v>
      </c>
    </row>
    <row r="43" spans="1:7">
      <c r="A43" s="272"/>
      <c r="B43" t="str">
        <f t="shared" si="1"/>
        <v>CS Audience/Seating Area General</v>
      </c>
      <c r="C43" s="141">
        <v>0.9</v>
      </c>
      <c r="E43" s="89" t="s">
        <v>863</v>
      </c>
      <c r="F43" s="88" t="s">
        <v>1024</v>
      </c>
      <c r="G43" s="88" t="s">
        <v>964</v>
      </c>
    </row>
    <row r="44" spans="1:7">
      <c r="A44" s="272"/>
      <c r="B44" t="str">
        <f t="shared" si="1"/>
        <v>CS Audience/Seating Area Gymnasium</v>
      </c>
      <c r="C44" s="141">
        <v>0.4</v>
      </c>
      <c r="E44" s="89" t="s">
        <v>863</v>
      </c>
      <c r="F44" s="88" t="s">
        <v>1024</v>
      </c>
      <c r="G44" s="91" t="s">
        <v>53</v>
      </c>
    </row>
    <row r="45" spans="1:7">
      <c r="A45" s="272"/>
      <c r="B45" t="str">
        <f t="shared" si="1"/>
        <v>CS Audience/Seating Area Exercise Center</v>
      </c>
      <c r="C45" s="141">
        <v>0.3</v>
      </c>
      <c r="E45" s="89" t="s">
        <v>863</v>
      </c>
      <c r="F45" s="88" t="s">
        <v>1024</v>
      </c>
      <c r="G45" s="91" t="s">
        <v>49</v>
      </c>
    </row>
    <row r="46" spans="1:7">
      <c r="A46" s="272"/>
      <c r="B46" t="str">
        <f t="shared" si="1"/>
        <v>CS Audience/Seating Area Convention Center</v>
      </c>
      <c r="C46" s="141">
        <v>0.7</v>
      </c>
      <c r="E46" s="89" t="s">
        <v>863</v>
      </c>
      <c r="F46" s="88" t="s">
        <v>1024</v>
      </c>
      <c r="G46" s="91" t="s">
        <v>37</v>
      </c>
    </row>
    <row r="47" spans="1:7">
      <c r="A47" s="272"/>
      <c r="B47" t="str">
        <f t="shared" si="1"/>
        <v>CS Audience/Seating Area Penitentiary</v>
      </c>
      <c r="C47" s="141">
        <v>0.7</v>
      </c>
      <c r="E47" s="89" t="s">
        <v>863</v>
      </c>
      <c r="F47" s="88" t="s">
        <v>1024</v>
      </c>
      <c r="G47" s="91" t="s">
        <v>70</v>
      </c>
    </row>
    <row r="48" spans="1:7">
      <c r="A48" s="272"/>
      <c r="B48" t="str">
        <f t="shared" si="1"/>
        <v>CS Audience/Seating Area Religious Buildings</v>
      </c>
      <c r="C48" s="141">
        <v>1.7</v>
      </c>
      <c r="E48" s="89" t="s">
        <v>863</v>
      </c>
      <c r="F48" s="88" t="s">
        <v>1024</v>
      </c>
      <c r="G48" s="91" t="s">
        <v>991</v>
      </c>
    </row>
    <row r="49" spans="1:7">
      <c r="A49" s="272"/>
      <c r="B49" t="str">
        <f t="shared" si="1"/>
        <v>CS Audience/Seating Area Sports Arena</v>
      </c>
      <c r="C49" s="141">
        <v>0.4</v>
      </c>
      <c r="E49" s="89" t="s">
        <v>863</v>
      </c>
      <c r="F49" s="88" t="s">
        <v>1024</v>
      </c>
      <c r="G49" s="91" t="s">
        <v>79</v>
      </c>
    </row>
    <row r="50" spans="1:7">
      <c r="A50" s="272"/>
      <c r="B50" t="str">
        <f t="shared" si="1"/>
        <v>CS Audience/Seating Area Performing Arts Theater</v>
      </c>
      <c r="C50" s="141">
        <v>2.6</v>
      </c>
      <c r="E50" s="89" t="s">
        <v>863</v>
      </c>
      <c r="F50" s="88" t="s">
        <v>1024</v>
      </c>
      <c r="G50" s="91" t="s">
        <v>542</v>
      </c>
    </row>
    <row r="51" spans="1:7">
      <c r="A51" s="272"/>
      <c r="B51" t="str">
        <f t="shared" si="1"/>
        <v>CS Audience/Seating Area Motion Picture Theater</v>
      </c>
      <c r="C51" s="141">
        <v>1.2</v>
      </c>
      <c r="E51" s="89" t="s">
        <v>863</v>
      </c>
      <c r="F51" s="88" t="s">
        <v>1024</v>
      </c>
      <c r="G51" s="91" t="s">
        <v>524</v>
      </c>
    </row>
    <row r="52" spans="1:7">
      <c r="A52" s="272"/>
      <c r="B52" t="str">
        <f t="shared" si="1"/>
        <v>CS Audience/Seating Area Transportation</v>
      </c>
      <c r="C52" s="141">
        <v>0.5</v>
      </c>
      <c r="E52" s="89" t="s">
        <v>863</v>
      </c>
      <c r="F52" s="88" t="s">
        <v>1024</v>
      </c>
      <c r="G52" s="91" t="s">
        <v>81</v>
      </c>
    </row>
    <row r="53" spans="1:7">
      <c r="A53" s="272"/>
      <c r="B53" t="str">
        <f t="shared" si="1"/>
        <v xml:space="preserve">CS Atrium—First Three Floors </v>
      </c>
      <c r="C53" s="141">
        <v>0.6</v>
      </c>
      <c r="E53" s="89" t="s">
        <v>863</v>
      </c>
      <c r="F53" s="88" t="s">
        <v>1025</v>
      </c>
    </row>
    <row r="54" spans="1:7">
      <c r="A54" s="272"/>
      <c r="B54" t="str">
        <f t="shared" si="1"/>
        <v xml:space="preserve">CS Atrium—Each Additional Floor </v>
      </c>
      <c r="C54" s="141">
        <v>0.2</v>
      </c>
      <c r="E54" s="89" t="s">
        <v>863</v>
      </c>
      <c r="F54" s="88" t="s">
        <v>1026</v>
      </c>
    </row>
    <row r="55" spans="1:7">
      <c r="A55" s="272"/>
      <c r="B55" t="str">
        <f t="shared" si="1"/>
        <v>CS Lounge/Recreation General</v>
      </c>
      <c r="C55" s="141">
        <v>1.2</v>
      </c>
      <c r="E55" s="89" t="s">
        <v>863</v>
      </c>
      <c r="F55" s="88" t="s">
        <v>1027</v>
      </c>
      <c r="G55" s="88" t="s">
        <v>964</v>
      </c>
    </row>
    <row r="56" spans="1:7">
      <c r="A56" s="272"/>
      <c r="B56" t="str">
        <f t="shared" si="1"/>
        <v>CS Lounge/Recreation Hospital</v>
      </c>
      <c r="C56" s="141">
        <v>0.8</v>
      </c>
      <c r="E56" s="89" t="s">
        <v>863</v>
      </c>
      <c r="F56" s="88" t="s">
        <v>1027</v>
      </c>
      <c r="G56" s="91" t="s">
        <v>56</v>
      </c>
    </row>
    <row r="57" spans="1:7">
      <c r="A57" s="272"/>
      <c r="B57" t="str">
        <f t="shared" si="1"/>
        <v>CS Dining Area General</v>
      </c>
      <c r="C57" s="141">
        <v>0.9</v>
      </c>
      <c r="E57" s="89" t="s">
        <v>863</v>
      </c>
      <c r="F57" s="88" t="s">
        <v>884</v>
      </c>
      <c r="G57" s="88" t="s">
        <v>964</v>
      </c>
    </row>
    <row r="58" spans="1:7">
      <c r="A58" s="272"/>
      <c r="B58" t="str">
        <f t="shared" si="1"/>
        <v>CS Dining Area Penitentiary</v>
      </c>
      <c r="C58" s="141">
        <v>1.3</v>
      </c>
      <c r="E58" s="89" t="s">
        <v>863</v>
      </c>
      <c r="F58" s="88" t="s">
        <v>884</v>
      </c>
      <c r="G58" s="91" t="s">
        <v>70</v>
      </c>
    </row>
    <row r="59" spans="1:7">
      <c r="A59" s="272"/>
      <c r="B59" t="str">
        <f t="shared" si="1"/>
        <v>CS Dining Area Hotel</v>
      </c>
      <c r="C59" s="141">
        <v>1.3</v>
      </c>
      <c r="E59" s="89" t="s">
        <v>863</v>
      </c>
      <c r="F59" s="88" t="s">
        <v>884</v>
      </c>
      <c r="G59" s="91" t="s">
        <v>514</v>
      </c>
    </row>
    <row r="60" spans="1:7">
      <c r="A60" s="272"/>
      <c r="B60" t="str">
        <f t="shared" si="1"/>
        <v>CS Dining Area Motel</v>
      </c>
      <c r="C60" s="141">
        <v>1.2</v>
      </c>
      <c r="E60" s="89" t="s">
        <v>863</v>
      </c>
      <c r="F60" s="88" t="s">
        <v>884</v>
      </c>
      <c r="G60" s="91" t="s">
        <v>61</v>
      </c>
    </row>
    <row r="61" spans="1:7">
      <c r="A61" s="272"/>
      <c r="B61" t="str">
        <f t="shared" si="1"/>
        <v>CS Dining Area Bar Lounge/Leisure Dining</v>
      </c>
      <c r="C61" s="141">
        <v>1.4</v>
      </c>
      <c r="E61" s="89" t="s">
        <v>863</v>
      </c>
      <c r="F61" s="88" t="s">
        <v>884</v>
      </c>
      <c r="G61" s="91" t="s">
        <v>1028</v>
      </c>
    </row>
    <row r="62" spans="1:7">
      <c r="A62" s="272"/>
      <c r="B62" t="str">
        <f t="shared" si="1"/>
        <v>CS Dining Area Family Dining</v>
      </c>
      <c r="C62" s="141">
        <v>2.1</v>
      </c>
      <c r="E62" s="89" t="s">
        <v>863</v>
      </c>
      <c r="F62" s="88" t="s">
        <v>884</v>
      </c>
      <c r="G62" s="91" t="s">
        <v>1029</v>
      </c>
    </row>
    <row r="63" spans="1:7">
      <c r="A63" s="272"/>
      <c r="B63" t="str">
        <f t="shared" si="1"/>
        <v xml:space="preserve">CS Food Preparation </v>
      </c>
      <c r="C63" s="141">
        <v>1.2</v>
      </c>
      <c r="E63" s="89" t="s">
        <v>863</v>
      </c>
      <c r="F63" s="88" t="s">
        <v>669</v>
      </c>
    </row>
    <row r="64" spans="1:7">
      <c r="A64" s="272"/>
      <c r="B64" t="str">
        <f t="shared" si="1"/>
        <v xml:space="preserve">CS Laboratory </v>
      </c>
      <c r="C64" s="141">
        <v>1.4</v>
      </c>
      <c r="E64" s="89" t="s">
        <v>863</v>
      </c>
      <c r="F64" s="88" t="s">
        <v>892</v>
      </c>
    </row>
    <row r="65" spans="1:7">
      <c r="A65" s="272"/>
      <c r="B65" t="str">
        <f t="shared" si="1"/>
        <v xml:space="preserve">CS Restrooms </v>
      </c>
      <c r="C65" s="141">
        <v>0.9</v>
      </c>
      <c r="E65" s="89" t="s">
        <v>863</v>
      </c>
      <c r="F65" s="88" t="s">
        <v>1030</v>
      </c>
    </row>
    <row r="66" spans="1:7">
      <c r="A66" s="272"/>
      <c r="B66" t="str">
        <f t="shared" si="1"/>
        <v xml:space="preserve">CS Dressing/Locker/Fitting Room </v>
      </c>
      <c r="C66" s="141">
        <v>0.6</v>
      </c>
      <c r="E66" s="89" t="s">
        <v>863</v>
      </c>
      <c r="F66" s="88" t="s">
        <v>1031</v>
      </c>
    </row>
    <row r="67" spans="1:7">
      <c r="A67" s="272"/>
      <c r="B67" t="str">
        <f t="shared" si="1"/>
        <v>CS Corridor/Transition General</v>
      </c>
      <c r="C67" s="141">
        <v>0.5</v>
      </c>
      <c r="E67" s="89" t="s">
        <v>863</v>
      </c>
      <c r="F67" s="88" t="s">
        <v>1032</v>
      </c>
      <c r="G67" s="88" t="s">
        <v>964</v>
      </c>
    </row>
    <row r="68" spans="1:7">
      <c r="A68" s="272"/>
      <c r="B68" t="str">
        <f t="shared" si="1"/>
        <v>CS Corridor/Transition Hospital</v>
      </c>
      <c r="C68" s="141">
        <v>1</v>
      </c>
      <c r="E68" s="89" t="s">
        <v>863</v>
      </c>
      <c r="F68" s="88" t="s">
        <v>1032</v>
      </c>
      <c r="G68" s="91" t="s">
        <v>56</v>
      </c>
    </row>
    <row r="69" spans="1:7">
      <c r="A69" s="272"/>
      <c r="B69" t="str">
        <f t="shared" si="1"/>
        <v>CS Corridor/Transition Manufacturing Facility</v>
      </c>
      <c r="C69" s="141">
        <v>0.5</v>
      </c>
      <c r="E69" s="89" t="s">
        <v>863</v>
      </c>
      <c r="F69" s="88" t="s">
        <v>1032</v>
      </c>
      <c r="G69" s="91" t="s">
        <v>60</v>
      </c>
    </row>
    <row r="70" spans="1:7">
      <c r="A70" s="272"/>
      <c r="B70" t="str">
        <f t="shared" si="1"/>
        <v xml:space="preserve">CS Stairs—Active </v>
      </c>
      <c r="C70" s="141">
        <v>0.6</v>
      </c>
      <c r="E70" s="89" t="s">
        <v>863</v>
      </c>
      <c r="F70" s="88" t="s">
        <v>1033</v>
      </c>
    </row>
    <row r="71" spans="1:7">
      <c r="A71" s="272"/>
      <c r="B71" t="str">
        <f t="shared" si="1"/>
        <v>CS Active Storage General</v>
      </c>
      <c r="C71" s="141">
        <v>0.8</v>
      </c>
      <c r="E71" s="89" t="s">
        <v>863</v>
      </c>
      <c r="F71" s="88" t="s">
        <v>1034</v>
      </c>
      <c r="G71" s="88" t="s">
        <v>964</v>
      </c>
    </row>
    <row r="72" spans="1:7">
      <c r="A72" s="272"/>
      <c r="B72" t="str">
        <f t="shared" si="1"/>
        <v>CS Active Storage Hospital</v>
      </c>
      <c r="C72" s="141">
        <v>0.9</v>
      </c>
      <c r="E72" s="89" t="s">
        <v>863</v>
      </c>
      <c r="F72" s="88" t="s">
        <v>1034</v>
      </c>
      <c r="G72" s="91" t="s">
        <v>56</v>
      </c>
    </row>
    <row r="73" spans="1:7">
      <c r="A73" s="272"/>
      <c r="B73" t="str">
        <f t="shared" si="1"/>
        <v>CS Inactive Storage General</v>
      </c>
      <c r="C73" s="141">
        <v>0.3</v>
      </c>
      <c r="E73" s="89" t="s">
        <v>863</v>
      </c>
      <c r="F73" s="88" t="s">
        <v>1035</v>
      </c>
      <c r="G73" s="88" t="s">
        <v>964</v>
      </c>
    </row>
    <row r="74" spans="1:7">
      <c r="A74" s="272"/>
      <c r="B74" t="str">
        <f t="shared" si="1"/>
        <v>CS Inactive Storage Museum</v>
      </c>
      <c r="C74" s="141">
        <v>0.8</v>
      </c>
      <c r="E74" s="89" t="s">
        <v>863</v>
      </c>
      <c r="F74" s="88" t="s">
        <v>1035</v>
      </c>
      <c r="G74" s="91" t="s">
        <v>532</v>
      </c>
    </row>
    <row r="75" spans="1:7">
      <c r="A75" s="272"/>
      <c r="B75" t="str">
        <f t="shared" si="1"/>
        <v xml:space="preserve">CS Electrical/Mechanical </v>
      </c>
      <c r="C75" s="141">
        <v>1.5</v>
      </c>
      <c r="E75" s="89" t="s">
        <v>863</v>
      </c>
      <c r="F75" s="88" t="s">
        <v>1036</v>
      </c>
    </row>
    <row r="76" spans="1:7">
      <c r="A76" s="272"/>
      <c r="B76" t="str">
        <f t="shared" si="1"/>
        <v xml:space="preserve">CS Workshop </v>
      </c>
      <c r="C76" s="141">
        <v>1.9</v>
      </c>
      <c r="E76" s="89" t="s">
        <v>863</v>
      </c>
      <c r="F76" s="88" t="s">
        <v>84</v>
      </c>
    </row>
    <row r="77" spans="1:7">
      <c r="A77" s="272"/>
      <c r="B77" t="str">
        <f t="shared" si="1"/>
        <v xml:space="preserve">CS Sales Area </v>
      </c>
      <c r="C77" s="141">
        <v>1.7</v>
      </c>
      <c r="D77" s="27" t="s">
        <v>1037</v>
      </c>
      <c r="E77" s="89" t="s">
        <v>863</v>
      </c>
      <c r="F77" s="90" t="s">
        <v>906</v>
      </c>
    </row>
    <row r="78" spans="1:7">
      <c r="A78" s="274" t="s">
        <v>1038</v>
      </c>
      <c r="B78" t="str">
        <f t="shared" si="1"/>
        <v>SS Gymnasium/Exercise Center Playing Area</v>
      </c>
      <c r="C78" s="141">
        <v>1.4</v>
      </c>
      <c r="E78" s="89" t="s">
        <v>914</v>
      </c>
      <c r="F78" s="88" t="s">
        <v>1039</v>
      </c>
      <c r="G78" s="91" t="s">
        <v>1040</v>
      </c>
    </row>
    <row r="79" spans="1:7">
      <c r="A79" s="276"/>
      <c r="B79" t="str">
        <f t="shared" si="1"/>
        <v>SS Gymnasium/Exercise Center Exercise Area</v>
      </c>
      <c r="C79" s="141">
        <v>0.9</v>
      </c>
      <c r="E79" s="89" t="s">
        <v>914</v>
      </c>
      <c r="F79" s="88" t="s">
        <v>1039</v>
      </c>
      <c r="G79" s="91" t="s">
        <v>1041</v>
      </c>
    </row>
    <row r="80" spans="1:7">
      <c r="A80" s="276"/>
      <c r="B80" t="str">
        <f t="shared" si="1"/>
        <v>SS Courthouse/Police Station/Penitentiary Courtroom</v>
      </c>
      <c r="C80" s="141">
        <v>1.9</v>
      </c>
      <c r="E80" s="89" t="s">
        <v>914</v>
      </c>
      <c r="F80" s="88" t="s">
        <v>974</v>
      </c>
      <c r="G80" s="91" t="s">
        <v>882</v>
      </c>
    </row>
    <row r="81" spans="1:7">
      <c r="A81" s="276"/>
      <c r="B81" t="str">
        <f t="shared" si="1"/>
        <v>SS Courthouse/Police Station/Penitentiary Confinement Cells</v>
      </c>
      <c r="C81" s="141">
        <v>0.9</v>
      </c>
      <c r="E81" s="89" t="s">
        <v>914</v>
      </c>
      <c r="F81" s="88" t="s">
        <v>974</v>
      </c>
      <c r="G81" s="91" t="s">
        <v>1042</v>
      </c>
    </row>
    <row r="82" spans="1:7">
      <c r="A82" s="276"/>
      <c r="B82" t="str">
        <f t="shared" si="1"/>
        <v>SS Courthouse/Police Station/Penitentiary Judges’ Chambers</v>
      </c>
      <c r="C82" s="141">
        <v>1.3</v>
      </c>
      <c r="E82" s="89" t="s">
        <v>914</v>
      </c>
      <c r="F82" s="88" t="s">
        <v>974</v>
      </c>
      <c r="G82" s="91" t="s">
        <v>1043</v>
      </c>
    </row>
    <row r="83" spans="1:7">
      <c r="A83" s="276"/>
      <c r="B83" t="str">
        <f t="shared" si="1"/>
        <v>SS Fire Stations Engine Room</v>
      </c>
      <c r="C83" s="141">
        <v>0.8</v>
      </c>
      <c r="E83" s="89" t="s">
        <v>914</v>
      </c>
      <c r="F83" s="88" t="s">
        <v>978</v>
      </c>
      <c r="G83" s="91" t="s">
        <v>1044</v>
      </c>
    </row>
    <row r="84" spans="1:7">
      <c r="A84" s="276"/>
      <c r="B84" t="str">
        <f t="shared" si="1"/>
        <v>SS Fire Stations Sleeping Quarters</v>
      </c>
      <c r="C84" s="141">
        <v>0.3</v>
      </c>
      <c r="E84" s="89" t="s">
        <v>914</v>
      </c>
      <c r="F84" s="88" t="s">
        <v>978</v>
      </c>
      <c r="G84" s="91" t="s">
        <v>1045</v>
      </c>
    </row>
    <row r="85" spans="1:7">
      <c r="A85" s="276"/>
      <c r="B85" t="str">
        <f t="shared" si="1"/>
        <v xml:space="preserve">SS Post Office—Sorting Area </v>
      </c>
      <c r="C85" s="141">
        <v>1.2</v>
      </c>
      <c r="E85" s="89" t="s">
        <v>914</v>
      </c>
      <c r="F85" s="88" t="s">
        <v>1046</v>
      </c>
    </row>
    <row r="86" spans="1:7">
      <c r="A86" s="276"/>
      <c r="B86" t="str">
        <f t="shared" si="1"/>
        <v>SS Convention Center Exhibit Space</v>
      </c>
      <c r="C86" s="141">
        <v>1.3</v>
      </c>
      <c r="E86" s="89" t="s">
        <v>914</v>
      </c>
      <c r="F86" s="90" t="s">
        <v>37</v>
      </c>
      <c r="G86" s="90" t="s">
        <v>1047</v>
      </c>
    </row>
    <row r="87" spans="1:7">
      <c r="A87" s="276"/>
      <c r="B87" t="str">
        <f t="shared" si="1"/>
        <v>SS Library Card File and Cataloging</v>
      </c>
      <c r="C87" s="141">
        <v>1.1000000000000001</v>
      </c>
      <c r="E87" s="89" t="s">
        <v>914</v>
      </c>
      <c r="F87" s="88" t="s">
        <v>59</v>
      </c>
      <c r="G87" s="91" t="s">
        <v>1048</v>
      </c>
    </row>
    <row r="88" spans="1:7">
      <c r="A88" s="276"/>
      <c r="B88" t="str">
        <f t="shared" si="1"/>
        <v>SS Library Stacks</v>
      </c>
      <c r="C88" s="141">
        <v>1.7</v>
      </c>
      <c r="E88" s="89" t="s">
        <v>914</v>
      </c>
      <c r="F88" s="88" t="s">
        <v>59</v>
      </c>
      <c r="G88" s="91" t="s">
        <v>1049</v>
      </c>
    </row>
    <row r="89" spans="1:7">
      <c r="A89" s="276"/>
      <c r="B89" t="str">
        <f t="shared" si="1"/>
        <v>SS Library Reading Area</v>
      </c>
      <c r="C89" s="141">
        <v>1.2</v>
      </c>
      <c r="E89" s="89" t="s">
        <v>914</v>
      </c>
      <c r="F89" s="88" t="s">
        <v>59</v>
      </c>
      <c r="G89" s="91" t="s">
        <v>1050</v>
      </c>
    </row>
    <row r="90" spans="1:7">
      <c r="A90" s="276"/>
      <c r="B90" t="str">
        <f t="shared" si="1"/>
        <v>SS Hospital Emergency</v>
      </c>
      <c r="C90" s="141">
        <v>2.7</v>
      </c>
      <c r="E90" s="89" t="s">
        <v>914</v>
      </c>
      <c r="F90" s="88" t="s">
        <v>56</v>
      </c>
      <c r="G90" s="91" t="s">
        <v>1051</v>
      </c>
    </row>
    <row r="91" spans="1:7">
      <c r="A91" s="276"/>
      <c r="B91" t="str">
        <f t="shared" si="1"/>
        <v>SS Hospital Recovery</v>
      </c>
      <c r="C91" s="141">
        <v>0.8</v>
      </c>
      <c r="E91" s="89" t="s">
        <v>914</v>
      </c>
      <c r="F91" s="88" t="s">
        <v>56</v>
      </c>
      <c r="G91" s="91" t="s">
        <v>1052</v>
      </c>
    </row>
    <row r="92" spans="1:7">
      <c r="A92" s="276"/>
      <c r="B92" t="str">
        <f t="shared" si="1"/>
        <v>SS Hospital Nurses’ Station</v>
      </c>
      <c r="C92" s="141">
        <v>1</v>
      </c>
      <c r="E92" s="89" t="s">
        <v>914</v>
      </c>
      <c r="F92" s="88" t="s">
        <v>56</v>
      </c>
      <c r="G92" s="91" t="s">
        <v>1053</v>
      </c>
    </row>
    <row r="93" spans="1:7">
      <c r="A93" s="276"/>
      <c r="B93" t="str">
        <f t="shared" si="1"/>
        <v>SS Hospital Exam/Treatment</v>
      </c>
      <c r="C93" s="141">
        <v>1.5</v>
      </c>
      <c r="E93" s="89" t="s">
        <v>914</v>
      </c>
      <c r="F93" s="88" t="s">
        <v>56</v>
      </c>
      <c r="G93" s="91" t="s">
        <v>1054</v>
      </c>
    </row>
    <row r="94" spans="1:7">
      <c r="A94" s="276"/>
      <c r="B94" t="str">
        <f t="shared" si="1"/>
        <v>SS Hospital Pharmacy</v>
      </c>
      <c r="C94" s="141">
        <v>1.2</v>
      </c>
      <c r="E94" s="89" t="s">
        <v>914</v>
      </c>
      <c r="F94" s="88" t="s">
        <v>56</v>
      </c>
      <c r="G94" s="91" t="s">
        <v>1055</v>
      </c>
    </row>
    <row r="95" spans="1:7">
      <c r="A95" s="276"/>
      <c r="B95" t="str">
        <f t="shared" si="1"/>
        <v>SS Hospital Patient Room</v>
      </c>
      <c r="C95" s="141">
        <v>0.7</v>
      </c>
      <c r="E95" s="89" t="s">
        <v>914</v>
      </c>
      <c r="F95" s="88" t="s">
        <v>56</v>
      </c>
      <c r="G95" s="91" t="s">
        <v>1056</v>
      </c>
    </row>
    <row r="96" spans="1:7">
      <c r="A96" s="276"/>
      <c r="B96" t="str">
        <f t="shared" si="1"/>
        <v>SS Hospital Operating Room</v>
      </c>
      <c r="C96" s="141">
        <v>2.2000000000000002</v>
      </c>
      <c r="E96" s="89" t="s">
        <v>914</v>
      </c>
      <c r="F96" s="88" t="s">
        <v>56</v>
      </c>
      <c r="G96" s="91" t="s">
        <v>1057</v>
      </c>
    </row>
    <row r="97" spans="1:7">
      <c r="A97" s="276"/>
      <c r="B97" t="str">
        <f t="shared" si="1"/>
        <v>SS Hospital Nursery</v>
      </c>
      <c r="C97" s="141">
        <v>0.6</v>
      </c>
      <c r="E97" s="89" t="s">
        <v>914</v>
      </c>
      <c r="F97" s="88" t="s">
        <v>56</v>
      </c>
      <c r="G97" s="91" t="s">
        <v>1058</v>
      </c>
    </row>
    <row r="98" spans="1:7">
      <c r="A98" s="276"/>
      <c r="B98" t="str">
        <f t="shared" si="1"/>
        <v>SS Hospital Medical Supply</v>
      </c>
      <c r="C98" s="141">
        <v>1.4</v>
      </c>
      <c r="E98" s="89" t="s">
        <v>914</v>
      </c>
      <c r="F98" s="88" t="s">
        <v>56</v>
      </c>
      <c r="G98" s="91" t="s">
        <v>1059</v>
      </c>
    </row>
    <row r="99" spans="1:7">
      <c r="A99" s="276"/>
      <c r="B99" t="str">
        <f t="shared" ref="B99:B125" si="2">E99&amp;" "&amp;F99&amp;" "&amp;G99</f>
        <v>SS Hospital Physical Therapy</v>
      </c>
      <c r="C99" s="141">
        <v>0.9</v>
      </c>
      <c r="E99" s="89" t="s">
        <v>914</v>
      </c>
      <c r="F99" s="88" t="s">
        <v>56</v>
      </c>
      <c r="G99" s="91" t="s">
        <v>1060</v>
      </c>
    </row>
    <row r="100" spans="1:7">
      <c r="A100" s="276"/>
      <c r="B100" t="str">
        <f t="shared" si="2"/>
        <v>SS Hospital Radiology</v>
      </c>
      <c r="C100" s="141">
        <v>0.4</v>
      </c>
      <c r="E100" s="89" t="s">
        <v>914</v>
      </c>
      <c r="F100" s="88" t="s">
        <v>56</v>
      </c>
      <c r="G100" s="91" t="s">
        <v>1061</v>
      </c>
    </row>
    <row r="101" spans="1:7">
      <c r="A101" s="276"/>
      <c r="B101" t="str">
        <f t="shared" si="2"/>
        <v>SS Hospital Laundry—Washing</v>
      </c>
      <c r="C101" s="141">
        <v>0.6</v>
      </c>
      <c r="E101" s="89" t="s">
        <v>914</v>
      </c>
      <c r="F101" s="88" t="s">
        <v>56</v>
      </c>
      <c r="G101" s="91" t="s">
        <v>1062</v>
      </c>
    </row>
    <row r="102" spans="1:7">
      <c r="A102" s="276"/>
      <c r="B102" t="str">
        <f t="shared" si="2"/>
        <v>SS Automotive Service Repair</v>
      </c>
      <c r="C102" s="141">
        <v>0.7</v>
      </c>
      <c r="E102" s="89" t="s">
        <v>914</v>
      </c>
      <c r="F102" s="90" t="s">
        <v>969</v>
      </c>
      <c r="G102" s="90" t="s">
        <v>1063</v>
      </c>
    </row>
    <row r="103" spans="1:7">
      <c r="A103" s="276"/>
      <c r="B103" t="str">
        <f t="shared" si="2"/>
        <v>SS Manufacturing Low Bay (&lt;25 ft Floor to Ceiling Height)</v>
      </c>
      <c r="C103" s="141">
        <v>1.2</v>
      </c>
      <c r="E103" s="89" t="s">
        <v>914</v>
      </c>
      <c r="F103" s="88" t="s">
        <v>881</v>
      </c>
      <c r="G103" s="91" t="s">
        <v>1064</v>
      </c>
    </row>
    <row r="104" spans="1:7">
      <c r="A104" s="276"/>
      <c r="B104" t="str">
        <f t="shared" si="2"/>
        <v>SS Manufacturing High Bay (³25 ft Floor to Ceiling Height)</v>
      </c>
      <c r="C104" s="141">
        <v>1.7</v>
      </c>
      <c r="E104" s="89" t="s">
        <v>914</v>
      </c>
      <c r="F104" s="88" t="s">
        <v>881</v>
      </c>
      <c r="G104" s="91" t="s">
        <v>1065</v>
      </c>
    </row>
    <row r="105" spans="1:7">
      <c r="A105" s="276"/>
      <c r="B105" t="str">
        <f t="shared" si="2"/>
        <v>SS Manufacturing Detailed Manufacturing</v>
      </c>
      <c r="C105" s="141">
        <v>2.1</v>
      </c>
      <c r="E105" s="89" t="s">
        <v>914</v>
      </c>
      <c r="F105" s="88" t="s">
        <v>881</v>
      </c>
      <c r="G105" s="91" t="s">
        <v>1066</v>
      </c>
    </row>
    <row r="106" spans="1:7">
      <c r="A106" s="276"/>
      <c r="B106" t="str">
        <f t="shared" si="2"/>
        <v>SS Manufacturing Equipment Room</v>
      </c>
      <c r="C106" s="141">
        <v>1.2</v>
      </c>
      <c r="E106" s="89" t="s">
        <v>914</v>
      </c>
      <c r="F106" s="88" t="s">
        <v>881</v>
      </c>
      <c r="G106" s="91" t="s">
        <v>111</v>
      </c>
    </row>
    <row r="107" spans="1:7">
      <c r="A107" s="276"/>
      <c r="B107" t="str">
        <f t="shared" si="2"/>
        <v>SS Manufacturing Control Room</v>
      </c>
      <c r="C107" s="141">
        <v>0.5</v>
      </c>
      <c r="E107" s="89" t="s">
        <v>914</v>
      </c>
      <c r="F107" s="88" t="s">
        <v>881</v>
      </c>
      <c r="G107" s="91" t="s">
        <v>1067</v>
      </c>
    </row>
    <row r="108" spans="1:7">
      <c r="A108" s="276"/>
      <c r="B108" t="str">
        <f t="shared" si="2"/>
        <v>SS Hotel/Motel Guest Rooms</v>
      </c>
      <c r="C108" s="141">
        <v>1.1000000000000001</v>
      </c>
      <c r="E108" s="89" t="s">
        <v>914</v>
      </c>
      <c r="F108" s="90" t="s">
        <v>861</v>
      </c>
      <c r="G108" s="90" t="s">
        <v>1068</v>
      </c>
    </row>
    <row r="109" spans="1:7">
      <c r="A109" s="276"/>
      <c r="B109" t="str">
        <f t="shared" si="2"/>
        <v>SS Dormitory Living Quarters</v>
      </c>
      <c r="C109" s="141">
        <v>1.1000000000000001</v>
      </c>
      <c r="E109" s="89" t="s">
        <v>914</v>
      </c>
      <c r="F109" s="90" t="s">
        <v>44</v>
      </c>
      <c r="G109" s="90" t="s">
        <v>1069</v>
      </c>
    </row>
    <row r="110" spans="1:7">
      <c r="A110" s="276"/>
      <c r="B110" t="str">
        <f t="shared" si="2"/>
        <v>SS Museum General Exhibition</v>
      </c>
      <c r="C110" s="141">
        <v>1</v>
      </c>
      <c r="E110" s="89" t="s">
        <v>914</v>
      </c>
      <c r="F110" s="88" t="s">
        <v>532</v>
      </c>
      <c r="G110" s="91" t="s">
        <v>1070</v>
      </c>
    </row>
    <row r="111" spans="1:7">
      <c r="A111" s="276"/>
      <c r="B111" t="str">
        <f t="shared" si="2"/>
        <v>SS Museum Restoration</v>
      </c>
      <c r="C111" s="141">
        <v>1.7</v>
      </c>
      <c r="E111" s="89" t="s">
        <v>914</v>
      </c>
      <c r="F111" s="88" t="s">
        <v>532</v>
      </c>
      <c r="G111" s="91" t="s">
        <v>1071</v>
      </c>
    </row>
    <row r="112" spans="1:7">
      <c r="A112" s="276"/>
      <c r="B112" t="str">
        <f t="shared" si="2"/>
        <v>SS Bank/Office Banking Activity Area</v>
      </c>
      <c r="C112" s="141">
        <v>1.5</v>
      </c>
      <c r="E112" s="89" t="s">
        <v>914</v>
      </c>
      <c r="F112" s="90" t="s">
        <v>971</v>
      </c>
      <c r="G112" s="90" t="s">
        <v>873</v>
      </c>
    </row>
    <row r="113" spans="1:7">
      <c r="A113" s="276"/>
      <c r="B113" t="str">
        <f t="shared" si="2"/>
        <v>SS Religious Buildings Worship Pulpit, Choir</v>
      </c>
      <c r="C113" s="141">
        <v>2.4</v>
      </c>
      <c r="E113" s="89" t="s">
        <v>914</v>
      </c>
      <c r="F113" s="88" t="s">
        <v>991</v>
      </c>
      <c r="G113" s="91" t="s">
        <v>1072</v>
      </c>
    </row>
    <row r="114" spans="1:7">
      <c r="A114" s="276"/>
      <c r="B114" t="str">
        <f t="shared" si="2"/>
        <v>SS Religious Buildings Fellowship Hall</v>
      </c>
      <c r="C114" s="141">
        <v>0.9</v>
      </c>
      <c r="E114" s="89" t="s">
        <v>914</v>
      </c>
      <c r="F114" s="88" t="s">
        <v>991</v>
      </c>
      <c r="G114" s="91" t="s">
        <v>942</v>
      </c>
    </row>
    <row r="115" spans="1:7">
      <c r="A115" s="276"/>
      <c r="B115" t="str">
        <f t="shared" si="2"/>
        <v>SS Retail Sales Area</v>
      </c>
      <c r="C115" s="141">
        <v>1.7</v>
      </c>
      <c r="D115" s="27" t="s">
        <v>1073</v>
      </c>
      <c r="E115" s="89" t="s">
        <v>914</v>
      </c>
      <c r="F115" s="88" t="s">
        <v>68</v>
      </c>
      <c r="G115" s="92" t="s">
        <v>906</v>
      </c>
    </row>
    <row r="116" spans="1:7">
      <c r="A116" s="276"/>
      <c r="B116" t="str">
        <f t="shared" si="2"/>
        <v>SS Retail Mall Concourse</v>
      </c>
      <c r="C116" s="141">
        <v>1.7</v>
      </c>
      <c r="E116" s="89" t="s">
        <v>914</v>
      </c>
      <c r="F116" s="88" t="s">
        <v>68</v>
      </c>
      <c r="G116" s="91" t="s">
        <v>1074</v>
      </c>
    </row>
    <row r="117" spans="1:7">
      <c r="A117" s="276"/>
      <c r="B117" t="str">
        <f t="shared" si="2"/>
        <v>SS Sports Arena Ring Sports Area</v>
      </c>
      <c r="C117" s="141">
        <v>2.7</v>
      </c>
      <c r="E117" s="89" t="s">
        <v>914</v>
      </c>
      <c r="F117" s="88" t="s">
        <v>79</v>
      </c>
      <c r="G117" s="91" t="s">
        <v>1075</v>
      </c>
    </row>
    <row r="118" spans="1:7">
      <c r="A118" s="276"/>
      <c r="B118" t="str">
        <f t="shared" si="2"/>
        <v>SS Sports Arena Court Sports Area</v>
      </c>
      <c r="C118" s="141">
        <v>2.2999999999999998</v>
      </c>
      <c r="E118" s="89" t="s">
        <v>914</v>
      </c>
      <c r="F118" s="88" t="s">
        <v>79</v>
      </c>
      <c r="G118" s="91" t="s">
        <v>1076</v>
      </c>
    </row>
    <row r="119" spans="1:7">
      <c r="A119" s="276"/>
      <c r="B119" t="str">
        <f t="shared" si="2"/>
        <v>SS Sports Arena Indoor Playing Field Area</v>
      </c>
      <c r="C119" s="141">
        <v>1.4</v>
      </c>
      <c r="E119" s="89" t="s">
        <v>914</v>
      </c>
      <c r="F119" s="88" t="s">
        <v>79</v>
      </c>
      <c r="G119" s="91" t="s">
        <v>1077</v>
      </c>
    </row>
    <row r="120" spans="1:7">
      <c r="A120" s="276"/>
      <c r="B120" t="str">
        <f t="shared" si="2"/>
        <v>SS Warehouse Fine Material Storage</v>
      </c>
      <c r="C120" s="141">
        <v>1.4</v>
      </c>
      <c r="E120" s="89" t="s">
        <v>914</v>
      </c>
      <c r="F120" s="88" t="s">
        <v>82</v>
      </c>
      <c r="G120" s="91" t="s">
        <v>1078</v>
      </c>
    </row>
    <row r="121" spans="1:7">
      <c r="A121" s="276"/>
      <c r="B121" t="str">
        <f t="shared" si="2"/>
        <v>SS Warehouse Medium/Bulky Material Storage</v>
      </c>
      <c r="C121" s="141">
        <v>0.9</v>
      </c>
      <c r="E121" s="89" t="s">
        <v>914</v>
      </c>
      <c r="F121" s="88" t="s">
        <v>82</v>
      </c>
      <c r="G121" s="91" t="s">
        <v>1079</v>
      </c>
    </row>
    <row r="122" spans="1:7">
      <c r="A122" s="276"/>
      <c r="B122" t="str">
        <f t="shared" si="2"/>
        <v>SS Parking Garage Garage Area</v>
      </c>
      <c r="C122" s="141">
        <v>0.2</v>
      </c>
      <c r="E122" s="89" t="s">
        <v>914</v>
      </c>
      <c r="F122" s="90" t="s">
        <v>67</v>
      </c>
      <c r="G122" s="90" t="s">
        <v>1080</v>
      </c>
    </row>
    <row r="123" spans="1:7">
      <c r="A123" s="276"/>
      <c r="B123" t="str">
        <f t="shared" si="2"/>
        <v>SS Transportation Airport—Concourse</v>
      </c>
      <c r="C123" s="141">
        <v>0.6</v>
      </c>
      <c r="E123" s="89" t="s">
        <v>914</v>
      </c>
      <c r="F123" s="88" t="s">
        <v>81</v>
      </c>
      <c r="G123" s="91" t="s">
        <v>1081</v>
      </c>
    </row>
    <row r="124" spans="1:7">
      <c r="A124" s="276"/>
      <c r="B124" t="str">
        <f t="shared" si="2"/>
        <v>SS Transportation Air/Train/Bus—Baggage Area</v>
      </c>
      <c r="C124" s="141">
        <v>1</v>
      </c>
      <c r="E124" s="89" t="s">
        <v>914</v>
      </c>
      <c r="F124" s="88" t="s">
        <v>81</v>
      </c>
      <c r="G124" s="91" t="s">
        <v>1082</v>
      </c>
    </row>
    <row r="125" spans="1:7">
      <c r="A125" s="276"/>
      <c r="B125" t="str">
        <f t="shared" si="2"/>
        <v>SS Transportation Terminal—Ticket Counter</v>
      </c>
      <c r="C125" s="141">
        <v>1.5</v>
      </c>
      <c r="E125" s="89" t="s">
        <v>914</v>
      </c>
      <c r="F125" s="88" t="s">
        <v>81</v>
      </c>
      <c r="G125" s="91" t="s">
        <v>1083</v>
      </c>
    </row>
  </sheetData>
  <mergeCells count="3">
    <mergeCell ref="A78:A125"/>
    <mergeCell ref="A34:A77"/>
    <mergeCell ref="A2:A33"/>
  </mergeCells>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123"/>
  <sheetViews>
    <sheetView workbookViewId="0">
      <pane ySplit="1" topLeftCell="A14" activePane="bottomLeft" state="frozen"/>
      <selection pane="bottomLeft" activeCell="B36" sqref="B36"/>
    </sheetView>
  </sheetViews>
  <sheetFormatPr defaultRowHeight="12.75"/>
  <cols>
    <col min="1" max="1" width="5.7109375" customWidth="1"/>
    <col min="2" max="2" width="51.140625" customWidth="1"/>
    <col min="3" max="3" width="9" style="77" customWidth="1"/>
    <col min="4" max="4" width="28.7109375" customWidth="1"/>
    <col min="5" max="5" width="9.140625" style="87"/>
    <col min="6" max="6" width="32.140625" style="88" customWidth="1"/>
    <col min="7" max="7" width="32.5703125" style="88" customWidth="1"/>
  </cols>
  <sheetData>
    <row r="1" spans="1:7" s="45" customFormat="1">
      <c r="B1" s="121" t="s">
        <v>853</v>
      </c>
      <c r="C1" s="139" t="s">
        <v>956</v>
      </c>
      <c r="D1" s="45" t="s">
        <v>394</v>
      </c>
      <c r="E1" s="122" t="s">
        <v>856</v>
      </c>
      <c r="F1" s="93"/>
      <c r="G1" s="93"/>
    </row>
    <row r="2" spans="1:7">
      <c r="A2" s="277" t="s">
        <v>1084</v>
      </c>
      <c r="B2" t="str">
        <f>E2&amp;" "&amp;F2</f>
        <v>BA Automotive Facility</v>
      </c>
      <c r="C2" s="77">
        <v>1.5</v>
      </c>
      <c r="E2" s="89" t="s">
        <v>858</v>
      </c>
      <c r="F2" s="88" t="s">
        <v>464</v>
      </c>
    </row>
    <row r="3" spans="1:7">
      <c r="A3" s="278"/>
      <c r="B3" t="str">
        <f t="shared" ref="B3:B32" si="0">E3&amp;" "&amp;F3</f>
        <v>BA Convention Center</v>
      </c>
      <c r="C3" s="77">
        <v>1.4</v>
      </c>
      <c r="E3" s="89" t="s">
        <v>858</v>
      </c>
      <c r="F3" s="88" t="s">
        <v>37</v>
      </c>
    </row>
    <row r="4" spans="1:7">
      <c r="A4" s="278"/>
      <c r="B4" t="str">
        <f t="shared" si="0"/>
        <v>BA Court House</v>
      </c>
      <c r="C4" s="77">
        <v>1.4</v>
      </c>
      <c r="E4" s="89" t="s">
        <v>858</v>
      </c>
      <c r="F4" s="88" t="s">
        <v>39</v>
      </c>
    </row>
    <row r="5" spans="1:7">
      <c r="A5" s="278"/>
      <c r="B5" t="str">
        <f t="shared" si="0"/>
        <v>BA Dining: Bar Lounge/Leisure</v>
      </c>
      <c r="C5" s="77">
        <v>1.5</v>
      </c>
      <c r="E5" s="89" t="s">
        <v>858</v>
      </c>
      <c r="F5" s="88" t="s">
        <v>859</v>
      </c>
    </row>
    <row r="6" spans="1:7">
      <c r="A6" s="278"/>
      <c r="B6" t="str">
        <f t="shared" si="0"/>
        <v>BA Dining: Cafeteria/Fast Food</v>
      </c>
      <c r="C6" s="77">
        <v>1.8</v>
      </c>
      <c r="E6" s="89" t="s">
        <v>858</v>
      </c>
      <c r="F6" s="88" t="s">
        <v>486</v>
      </c>
    </row>
    <row r="7" spans="1:7">
      <c r="A7" s="278"/>
      <c r="B7" t="str">
        <f t="shared" si="0"/>
        <v>BA Dining: Family</v>
      </c>
      <c r="C7" s="77">
        <v>1.9</v>
      </c>
      <c r="E7" s="89" t="s">
        <v>858</v>
      </c>
      <c r="F7" s="88" t="s">
        <v>489</v>
      </c>
    </row>
    <row r="8" spans="1:7">
      <c r="A8" s="278"/>
      <c r="B8" t="str">
        <f t="shared" si="0"/>
        <v>BA Dormitory</v>
      </c>
      <c r="C8" s="77">
        <v>1.5</v>
      </c>
      <c r="E8" s="89" t="s">
        <v>858</v>
      </c>
      <c r="F8" s="88" t="s">
        <v>44</v>
      </c>
    </row>
    <row r="9" spans="1:7">
      <c r="A9" s="278"/>
      <c r="B9" t="str">
        <f t="shared" si="0"/>
        <v>BA Exercise Center</v>
      </c>
      <c r="C9" s="77">
        <v>1.4</v>
      </c>
      <c r="E9" s="89" t="s">
        <v>858</v>
      </c>
      <c r="F9" s="88" t="s">
        <v>49</v>
      </c>
    </row>
    <row r="10" spans="1:7">
      <c r="A10" s="278"/>
      <c r="B10" t="str">
        <f t="shared" si="0"/>
        <v>BA Gymnasium</v>
      </c>
      <c r="C10" s="77">
        <v>1.7</v>
      </c>
      <c r="E10" s="89" t="s">
        <v>858</v>
      </c>
      <c r="F10" s="88" t="s">
        <v>53</v>
      </c>
    </row>
    <row r="11" spans="1:7">
      <c r="A11" s="278"/>
      <c r="B11" t="str">
        <f t="shared" si="0"/>
        <v>BA Hospital/Health Care</v>
      </c>
      <c r="C11" s="77">
        <v>1.6</v>
      </c>
      <c r="E11" s="89" t="s">
        <v>858</v>
      </c>
      <c r="F11" s="88" t="s">
        <v>1085</v>
      </c>
    </row>
    <row r="12" spans="1:7">
      <c r="A12" s="278"/>
      <c r="B12" t="str">
        <f t="shared" si="0"/>
        <v>BA Hotel</v>
      </c>
      <c r="C12" s="77">
        <v>1.7</v>
      </c>
      <c r="E12" s="89" t="s">
        <v>858</v>
      </c>
      <c r="F12" s="88" t="s">
        <v>514</v>
      </c>
    </row>
    <row r="13" spans="1:7">
      <c r="A13" s="278"/>
      <c r="B13" t="str">
        <f t="shared" si="0"/>
        <v>BA Library</v>
      </c>
      <c r="C13" s="77">
        <v>1.5</v>
      </c>
      <c r="E13" s="89" t="s">
        <v>858</v>
      </c>
      <c r="F13" s="88" t="s">
        <v>59</v>
      </c>
    </row>
    <row r="14" spans="1:7">
      <c r="A14" s="278"/>
      <c r="B14" t="str">
        <f t="shared" si="0"/>
        <v>BA Manufacturing Facility</v>
      </c>
      <c r="C14" s="77">
        <v>2.2000000000000002</v>
      </c>
      <c r="E14" s="89" t="s">
        <v>858</v>
      </c>
      <c r="F14" s="88" t="s">
        <v>60</v>
      </c>
    </row>
    <row r="15" spans="1:7">
      <c r="A15" s="278"/>
      <c r="B15" t="str">
        <f t="shared" si="0"/>
        <v>BA Motel</v>
      </c>
      <c r="C15" s="77">
        <v>2</v>
      </c>
      <c r="E15" s="89" t="s">
        <v>858</v>
      </c>
      <c r="F15" s="88" t="s">
        <v>61</v>
      </c>
    </row>
    <row r="16" spans="1:7">
      <c r="A16" s="278"/>
      <c r="B16" t="str">
        <f t="shared" si="0"/>
        <v>BA Motion Picture Theater</v>
      </c>
      <c r="C16" s="77">
        <v>1.6</v>
      </c>
      <c r="E16" s="89" t="s">
        <v>858</v>
      </c>
      <c r="F16" s="88" t="s">
        <v>524</v>
      </c>
    </row>
    <row r="17" spans="1:6">
      <c r="A17" s="278"/>
      <c r="B17" t="str">
        <f t="shared" si="0"/>
        <v>BA Multi-Family</v>
      </c>
      <c r="C17" s="77">
        <v>1</v>
      </c>
      <c r="E17" s="89" t="s">
        <v>858</v>
      </c>
      <c r="F17" s="88" t="s">
        <v>63</v>
      </c>
    </row>
    <row r="18" spans="1:6">
      <c r="A18" s="278"/>
      <c r="B18" t="str">
        <f t="shared" si="0"/>
        <v>BA Museum</v>
      </c>
      <c r="C18" s="77">
        <v>1.6</v>
      </c>
      <c r="E18" s="89" t="s">
        <v>858</v>
      </c>
      <c r="F18" s="88" t="s">
        <v>532</v>
      </c>
    </row>
    <row r="19" spans="1:6">
      <c r="A19" s="278"/>
      <c r="B19" t="str">
        <f t="shared" si="0"/>
        <v>BA Office</v>
      </c>
      <c r="C19" s="77">
        <v>1.3</v>
      </c>
      <c r="E19" s="89" t="s">
        <v>858</v>
      </c>
      <c r="F19" s="88" t="s">
        <v>66</v>
      </c>
    </row>
    <row r="20" spans="1:6">
      <c r="A20" s="278"/>
      <c r="B20" t="str">
        <f t="shared" si="0"/>
        <v>BA Parking Garage</v>
      </c>
      <c r="C20" s="77">
        <v>0.3</v>
      </c>
      <c r="E20" s="89" t="s">
        <v>858</v>
      </c>
      <c r="F20" s="88" t="s">
        <v>67</v>
      </c>
    </row>
    <row r="21" spans="1:6">
      <c r="A21" s="278"/>
      <c r="B21" t="str">
        <f t="shared" si="0"/>
        <v>BA Penitentiary</v>
      </c>
      <c r="C21" s="77">
        <v>1.2</v>
      </c>
      <c r="E21" s="89" t="s">
        <v>858</v>
      </c>
      <c r="F21" s="88" t="s">
        <v>70</v>
      </c>
    </row>
    <row r="22" spans="1:6">
      <c r="A22" s="278"/>
      <c r="B22" t="str">
        <f t="shared" si="0"/>
        <v>BA Performing Arts Theater</v>
      </c>
      <c r="C22" s="77">
        <v>1.5</v>
      </c>
      <c r="E22" s="89" t="s">
        <v>858</v>
      </c>
      <c r="F22" s="88" t="s">
        <v>542</v>
      </c>
    </row>
    <row r="23" spans="1:6">
      <c r="A23" s="278"/>
      <c r="B23" t="str">
        <f t="shared" si="0"/>
        <v>BA Police/Fire Station</v>
      </c>
      <c r="C23" s="77">
        <v>1.3</v>
      </c>
      <c r="E23" s="89" t="s">
        <v>858</v>
      </c>
      <c r="F23" s="88" t="s">
        <v>1086</v>
      </c>
    </row>
    <row r="24" spans="1:6">
      <c r="A24" s="278"/>
      <c r="B24" t="str">
        <f t="shared" si="0"/>
        <v>BA Post Office</v>
      </c>
      <c r="C24" s="77">
        <v>1.6</v>
      </c>
      <c r="E24" s="89" t="s">
        <v>858</v>
      </c>
      <c r="F24" s="88" t="s">
        <v>73</v>
      </c>
    </row>
    <row r="25" spans="1:6">
      <c r="A25" s="278"/>
      <c r="B25" t="str">
        <f t="shared" si="0"/>
        <v>BA Religious Building</v>
      </c>
      <c r="C25" s="77">
        <v>2.2000000000000002</v>
      </c>
      <c r="E25" s="89" t="s">
        <v>858</v>
      </c>
      <c r="F25" s="88" t="s">
        <v>74</v>
      </c>
    </row>
    <row r="26" spans="1:6">
      <c r="A26" s="278"/>
      <c r="B26" t="str">
        <f t="shared" si="0"/>
        <v>BA Retail</v>
      </c>
      <c r="C26" s="77">
        <v>1.9</v>
      </c>
      <c r="E26" s="89" t="s">
        <v>858</v>
      </c>
      <c r="F26" s="88" t="s">
        <v>68</v>
      </c>
    </row>
    <row r="27" spans="1:6">
      <c r="A27" s="278"/>
      <c r="B27" t="str">
        <f t="shared" si="0"/>
        <v>BA School/University</v>
      </c>
      <c r="C27" s="77">
        <v>1.5</v>
      </c>
      <c r="E27" s="89" t="s">
        <v>858</v>
      </c>
      <c r="F27" s="88" t="s">
        <v>77</v>
      </c>
    </row>
    <row r="28" spans="1:6">
      <c r="A28" s="278"/>
      <c r="B28" t="str">
        <f t="shared" si="0"/>
        <v>BA Sports Arena</v>
      </c>
      <c r="C28" s="77">
        <v>1.5</v>
      </c>
      <c r="E28" s="89" t="s">
        <v>858</v>
      </c>
      <c r="F28" s="88" t="s">
        <v>79</v>
      </c>
    </row>
    <row r="29" spans="1:6">
      <c r="A29" s="278"/>
      <c r="B29" t="str">
        <f t="shared" si="0"/>
        <v>BA Town Hall</v>
      </c>
      <c r="C29" s="77">
        <v>1.4</v>
      </c>
      <c r="E29" s="89" t="s">
        <v>858</v>
      </c>
      <c r="F29" s="88" t="s">
        <v>80</v>
      </c>
    </row>
    <row r="30" spans="1:6">
      <c r="A30" s="278"/>
      <c r="B30" t="str">
        <f t="shared" si="0"/>
        <v>BA Transportation</v>
      </c>
      <c r="C30" s="77">
        <v>1.2</v>
      </c>
      <c r="E30" s="89" t="s">
        <v>858</v>
      </c>
      <c r="F30" s="88" t="s">
        <v>81</v>
      </c>
    </row>
    <row r="31" spans="1:6">
      <c r="A31" s="278"/>
      <c r="B31" t="str">
        <f t="shared" si="0"/>
        <v>BA Warehouse</v>
      </c>
      <c r="C31" s="77">
        <v>1.2</v>
      </c>
      <c r="E31" s="89" t="s">
        <v>858</v>
      </c>
      <c r="F31" s="88" t="s">
        <v>82</v>
      </c>
    </row>
    <row r="32" spans="1:6">
      <c r="A32" s="278"/>
      <c r="B32" t="str">
        <f t="shared" si="0"/>
        <v>BA Workshop</v>
      </c>
      <c r="C32" s="77">
        <v>1.7</v>
      </c>
      <c r="E32" s="89" t="s">
        <v>858</v>
      </c>
      <c r="F32" s="88" t="s">
        <v>84</v>
      </c>
    </row>
    <row r="33" spans="1:7">
      <c r="A33" s="272" t="s">
        <v>1087</v>
      </c>
      <c r="B33" s="22" t="str">
        <f>E33&amp;" "&amp;F33&amp;" "&amp;G33</f>
        <v>CS Active Storage General</v>
      </c>
      <c r="C33" s="77">
        <v>1.1000000000000001</v>
      </c>
      <c r="E33" s="89" t="s">
        <v>863</v>
      </c>
      <c r="F33" s="88" t="s">
        <v>1034</v>
      </c>
      <c r="G33" s="90" t="s">
        <v>964</v>
      </c>
    </row>
    <row r="34" spans="1:7">
      <c r="A34" s="273"/>
      <c r="B34" s="22" t="str">
        <f t="shared" ref="B34:B97" si="1">E34&amp;" "&amp;F34&amp;" "&amp;G34</f>
        <v xml:space="preserve">CS Atrium—Each Additional Floor </v>
      </c>
      <c r="C34" s="77">
        <v>0.2</v>
      </c>
      <c r="E34" s="89" t="s">
        <v>863</v>
      </c>
      <c r="F34" s="88" t="s">
        <v>1026</v>
      </c>
    </row>
    <row r="35" spans="1:7">
      <c r="A35" s="273"/>
      <c r="B35" s="22" t="str">
        <f t="shared" si="1"/>
        <v xml:space="preserve">CS Atrium—First Three Floors </v>
      </c>
      <c r="C35" s="77">
        <v>1.3</v>
      </c>
      <c r="E35" s="89" t="s">
        <v>863</v>
      </c>
      <c r="F35" s="88" t="s">
        <v>1025</v>
      </c>
    </row>
    <row r="36" spans="1:7">
      <c r="A36" s="273"/>
      <c r="B36" s="22" t="str">
        <f t="shared" si="1"/>
        <v>CS Audience/Seating Area General</v>
      </c>
      <c r="C36" s="77">
        <v>1.6</v>
      </c>
      <c r="E36" s="89" t="s">
        <v>863</v>
      </c>
      <c r="F36" s="88" t="s">
        <v>1024</v>
      </c>
      <c r="G36" s="90" t="s">
        <v>964</v>
      </c>
    </row>
    <row r="37" spans="1:7">
      <c r="A37" s="273"/>
      <c r="B37" s="22" t="str">
        <f t="shared" si="1"/>
        <v>CS Classroom/Lecture/Training General</v>
      </c>
      <c r="C37" s="77">
        <v>1.6</v>
      </c>
      <c r="E37" s="89" t="s">
        <v>863</v>
      </c>
      <c r="F37" s="88" t="s">
        <v>874</v>
      </c>
      <c r="G37" s="90" t="s">
        <v>964</v>
      </c>
    </row>
    <row r="38" spans="1:7">
      <c r="A38" s="273"/>
      <c r="B38" s="22" t="str">
        <f t="shared" si="1"/>
        <v xml:space="preserve">CS Conference/Meeting/Multipurpose </v>
      </c>
      <c r="C38" s="77">
        <v>1.5</v>
      </c>
      <c r="E38" s="89" t="s">
        <v>863</v>
      </c>
      <c r="F38" s="88" t="s">
        <v>876</v>
      </c>
    </row>
    <row r="39" spans="1:7">
      <c r="A39" s="273"/>
      <c r="B39" s="22" t="str">
        <f t="shared" si="1"/>
        <v xml:space="preserve">CS Stairs—Active </v>
      </c>
      <c r="C39" s="77">
        <v>0.9</v>
      </c>
      <c r="E39" s="89" t="s">
        <v>863</v>
      </c>
      <c r="F39" s="88" t="s">
        <v>1033</v>
      </c>
    </row>
    <row r="40" spans="1:7">
      <c r="A40" s="273"/>
      <c r="B40" s="22" t="str">
        <f t="shared" si="1"/>
        <v>CS Corridor/Transition General</v>
      </c>
      <c r="C40" s="77">
        <v>0.7</v>
      </c>
      <c r="E40" s="89" t="s">
        <v>863</v>
      </c>
      <c r="F40" s="88" t="s">
        <v>1032</v>
      </c>
      <c r="G40" s="90" t="s">
        <v>964</v>
      </c>
    </row>
    <row r="41" spans="1:7">
      <c r="A41" s="273"/>
      <c r="B41" s="22" t="str">
        <f t="shared" si="1"/>
        <v>CS Dining Area General</v>
      </c>
      <c r="C41" s="77">
        <v>1.4</v>
      </c>
      <c r="E41" s="89" t="s">
        <v>863</v>
      </c>
      <c r="F41" s="88" t="s">
        <v>884</v>
      </c>
      <c r="G41" s="90" t="s">
        <v>964</v>
      </c>
    </row>
    <row r="42" spans="1:7">
      <c r="A42" s="273"/>
      <c r="B42" s="22" t="str">
        <f t="shared" si="1"/>
        <v xml:space="preserve">CS Electrical/Mechanical </v>
      </c>
      <c r="C42" s="77">
        <v>1.3</v>
      </c>
      <c r="E42" s="89" t="s">
        <v>863</v>
      </c>
      <c r="F42" s="88" t="s">
        <v>1036</v>
      </c>
    </row>
    <row r="43" spans="1:7">
      <c r="A43" s="273"/>
      <c r="B43" s="22" t="str">
        <f t="shared" si="1"/>
        <v xml:space="preserve">CS Food Preparation </v>
      </c>
      <c r="C43" s="77">
        <v>2.2000000000000002</v>
      </c>
      <c r="E43" s="89" t="s">
        <v>863</v>
      </c>
      <c r="F43" s="88" t="s">
        <v>669</v>
      </c>
    </row>
    <row r="44" spans="1:7">
      <c r="A44" s="273"/>
      <c r="B44" s="22" t="str">
        <f t="shared" si="1"/>
        <v>CS Inactive Storage General</v>
      </c>
      <c r="C44" s="77">
        <v>0.3</v>
      </c>
      <c r="E44" s="89" t="s">
        <v>863</v>
      </c>
      <c r="F44" s="88" t="s">
        <v>1035</v>
      </c>
      <c r="G44" s="90" t="s">
        <v>964</v>
      </c>
    </row>
    <row r="45" spans="1:7">
      <c r="A45" s="273"/>
      <c r="B45" s="22" t="str">
        <f t="shared" si="1"/>
        <v>CS Lobby All Other</v>
      </c>
      <c r="C45" s="77">
        <v>1.8</v>
      </c>
      <c r="E45" s="89" t="s">
        <v>863</v>
      </c>
      <c r="F45" s="88" t="s">
        <v>896</v>
      </c>
      <c r="G45" s="90" t="s">
        <v>1088</v>
      </c>
    </row>
    <row r="46" spans="1:7">
      <c r="A46" s="273"/>
      <c r="B46" s="22" t="str">
        <f t="shared" si="1"/>
        <v xml:space="preserve">CS Lounge/Recreation </v>
      </c>
      <c r="C46" s="77">
        <v>1.4</v>
      </c>
      <c r="E46" s="89" t="s">
        <v>863</v>
      </c>
      <c r="F46" s="88" t="s">
        <v>1027</v>
      </c>
    </row>
    <row r="47" spans="1:7">
      <c r="A47" s="273"/>
      <c r="B47" s="22" t="str">
        <f t="shared" si="1"/>
        <v>CS Office Enclosed</v>
      </c>
      <c r="C47" s="77">
        <v>1.5</v>
      </c>
      <c r="E47" s="89" t="s">
        <v>863</v>
      </c>
      <c r="F47" s="90" t="s">
        <v>66</v>
      </c>
      <c r="G47" s="90" t="s">
        <v>902</v>
      </c>
    </row>
    <row r="48" spans="1:7">
      <c r="A48" s="273"/>
      <c r="B48" s="22" t="str">
        <f t="shared" si="1"/>
        <v>CS Office Open Plan</v>
      </c>
      <c r="C48" s="77">
        <v>1.3</v>
      </c>
      <c r="E48" s="89" t="s">
        <v>863</v>
      </c>
      <c r="F48" s="90" t="s">
        <v>66</v>
      </c>
      <c r="G48" s="90" t="s">
        <v>903</v>
      </c>
    </row>
    <row r="49" spans="1:7">
      <c r="A49" s="273"/>
      <c r="B49" s="22" t="str">
        <f t="shared" si="1"/>
        <v xml:space="preserve">CS Restrooms </v>
      </c>
      <c r="C49" s="77">
        <v>1</v>
      </c>
      <c r="E49" s="89" t="s">
        <v>863</v>
      </c>
      <c r="F49" s="88" t="s">
        <v>1030</v>
      </c>
    </row>
    <row r="50" spans="1:7">
      <c r="A50" s="279" t="s">
        <v>1089</v>
      </c>
      <c r="B50" s="22" t="str">
        <f t="shared" si="1"/>
        <v>SS Active Storage Hospital</v>
      </c>
      <c r="C50" s="77">
        <v>2.9</v>
      </c>
      <c r="E50" s="89" t="s">
        <v>914</v>
      </c>
      <c r="F50" s="88" t="s">
        <v>1034</v>
      </c>
      <c r="G50" s="88" t="s">
        <v>56</v>
      </c>
    </row>
    <row r="51" spans="1:7">
      <c r="A51" s="279"/>
      <c r="B51" s="22" t="str">
        <f t="shared" si="1"/>
        <v>SS Active Storage Museum</v>
      </c>
      <c r="C51" s="77">
        <v>1.4</v>
      </c>
      <c r="E51" s="89" t="s">
        <v>914</v>
      </c>
      <c r="F51" s="88" t="s">
        <v>1034</v>
      </c>
      <c r="G51" s="88" t="s">
        <v>532</v>
      </c>
    </row>
    <row r="52" spans="1:7">
      <c r="A52" s="279"/>
      <c r="B52" s="22" t="str">
        <f t="shared" si="1"/>
        <v>SS Audience/Seating Area Convention Center</v>
      </c>
      <c r="C52" s="77">
        <v>0.5</v>
      </c>
      <c r="E52" s="89" t="s">
        <v>914</v>
      </c>
      <c r="F52" s="88" t="s">
        <v>1024</v>
      </c>
      <c r="G52" s="88" t="s">
        <v>37</v>
      </c>
    </row>
    <row r="53" spans="1:7">
      <c r="A53" s="279"/>
      <c r="B53" s="22" t="str">
        <f t="shared" si="1"/>
        <v>SS Audience/Seating Area Exercise Center</v>
      </c>
      <c r="C53" s="77">
        <v>0.5</v>
      </c>
      <c r="E53" s="89" t="s">
        <v>914</v>
      </c>
      <c r="F53" s="88" t="s">
        <v>1024</v>
      </c>
      <c r="G53" s="88" t="s">
        <v>49</v>
      </c>
    </row>
    <row r="54" spans="1:7">
      <c r="A54" s="279"/>
      <c r="B54" s="22" t="str">
        <f t="shared" si="1"/>
        <v>SS Audience/Seating Area Gymnasium</v>
      </c>
      <c r="C54" s="77">
        <v>0.5</v>
      </c>
      <c r="E54" s="89" t="s">
        <v>914</v>
      </c>
      <c r="F54" s="88" t="s">
        <v>1024</v>
      </c>
      <c r="G54" s="90" t="s">
        <v>53</v>
      </c>
    </row>
    <row r="55" spans="1:7">
      <c r="A55" s="279"/>
      <c r="B55" s="22" t="str">
        <f t="shared" si="1"/>
        <v>SS Audience/Seating Area Motion Picture Theater</v>
      </c>
      <c r="C55" s="77">
        <v>1.3</v>
      </c>
      <c r="E55" s="89" t="s">
        <v>914</v>
      </c>
      <c r="F55" s="88" t="s">
        <v>1024</v>
      </c>
      <c r="G55" s="88" t="s">
        <v>524</v>
      </c>
    </row>
    <row r="56" spans="1:7">
      <c r="A56" s="279"/>
      <c r="B56" s="22" t="str">
        <f t="shared" si="1"/>
        <v>SS Audience/Seating Area Penitentiary</v>
      </c>
      <c r="C56" s="77">
        <v>1.9</v>
      </c>
      <c r="E56" s="89" t="s">
        <v>914</v>
      </c>
      <c r="F56" s="88" t="s">
        <v>1024</v>
      </c>
      <c r="G56" s="88" t="s">
        <v>70</v>
      </c>
    </row>
    <row r="57" spans="1:7">
      <c r="A57" s="279"/>
      <c r="B57" s="22" t="str">
        <f t="shared" si="1"/>
        <v>SS Audience/Seating Area Performing Arts Theater</v>
      </c>
      <c r="C57" s="77">
        <v>1.8</v>
      </c>
      <c r="E57" s="89" t="s">
        <v>914</v>
      </c>
      <c r="F57" s="88" t="s">
        <v>1024</v>
      </c>
      <c r="G57" s="88" t="s">
        <v>542</v>
      </c>
    </row>
    <row r="58" spans="1:7">
      <c r="A58" s="279"/>
      <c r="B58" s="22" t="str">
        <f t="shared" si="1"/>
        <v>SS Audience/Seating Area Religious Buildings</v>
      </c>
      <c r="C58" s="77">
        <v>3.2</v>
      </c>
      <c r="E58" s="89" t="s">
        <v>914</v>
      </c>
      <c r="F58" s="88" t="s">
        <v>1024</v>
      </c>
      <c r="G58" s="88" t="s">
        <v>991</v>
      </c>
    </row>
    <row r="59" spans="1:7">
      <c r="A59" s="279"/>
      <c r="B59" s="22" t="str">
        <f t="shared" si="1"/>
        <v>SS Audience/Seating Area Sports Arena</v>
      </c>
      <c r="C59" s="77">
        <v>0.5</v>
      </c>
      <c r="E59" s="89" t="s">
        <v>914</v>
      </c>
      <c r="F59" s="88" t="s">
        <v>1024</v>
      </c>
      <c r="G59" s="88" t="s">
        <v>79</v>
      </c>
    </row>
    <row r="60" spans="1:7">
      <c r="A60" s="279"/>
      <c r="B60" s="22" t="str">
        <f t="shared" si="1"/>
        <v>SS Audience/Seating Area Transportation</v>
      </c>
      <c r="C60" s="77">
        <v>1</v>
      </c>
      <c r="E60" s="89" t="s">
        <v>914</v>
      </c>
      <c r="F60" s="88" t="s">
        <v>1024</v>
      </c>
      <c r="G60" s="88" t="s">
        <v>81</v>
      </c>
    </row>
    <row r="61" spans="1:7">
      <c r="A61" s="279"/>
      <c r="B61" s="22" t="str">
        <f t="shared" si="1"/>
        <v>SS Automotive Service Repair</v>
      </c>
      <c r="C61" s="77">
        <v>1.4</v>
      </c>
      <c r="E61" s="89" t="s">
        <v>914</v>
      </c>
      <c r="F61" s="90" t="s">
        <v>969</v>
      </c>
      <c r="G61" s="90" t="s">
        <v>1063</v>
      </c>
    </row>
    <row r="62" spans="1:7">
      <c r="A62" s="279"/>
      <c r="B62" s="22" t="str">
        <f t="shared" si="1"/>
        <v>SS Bank/Office Banking Activity Area</v>
      </c>
      <c r="C62" s="77">
        <v>2.4</v>
      </c>
      <c r="E62" s="89" t="s">
        <v>914</v>
      </c>
      <c r="F62" s="90" t="s">
        <v>971</v>
      </c>
      <c r="G62" s="90" t="s">
        <v>873</v>
      </c>
    </row>
    <row r="63" spans="1:7">
      <c r="A63" s="279"/>
      <c r="B63" s="22" t="str">
        <f t="shared" si="1"/>
        <v>SS Classroom/Lecture/Training Penitentiary</v>
      </c>
      <c r="C63" s="77">
        <v>1.4</v>
      </c>
      <c r="E63" s="89" t="s">
        <v>914</v>
      </c>
      <c r="F63" s="88" t="s">
        <v>874</v>
      </c>
      <c r="G63" s="90" t="s">
        <v>70</v>
      </c>
    </row>
    <row r="64" spans="1:7">
      <c r="A64" s="279"/>
      <c r="B64" s="22" t="str">
        <f t="shared" si="1"/>
        <v>SS Convention Center Exhibit Space</v>
      </c>
      <c r="C64" s="77">
        <v>3.3</v>
      </c>
      <c r="E64" s="89" t="s">
        <v>914</v>
      </c>
      <c r="F64" s="90" t="s">
        <v>37</v>
      </c>
      <c r="G64" s="90" t="s">
        <v>1047</v>
      </c>
    </row>
    <row r="65" spans="1:7">
      <c r="A65" s="279"/>
      <c r="B65" s="22" t="str">
        <f t="shared" si="1"/>
        <v>SS Corridor/Transition Hospital</v>
      </c>
      <c r="C65" s="77">
        <v>1.6</v>
      </c>
      <c r="E65" s="89" t="s">
        <v>914</v>
      </c>
      <c r="F65" s="88" t="s">
        <v>1032</v>
      </c>
      <c r="G65" s="88" t="s">
        <v>56</v>
      </c>
    </row>
    <row r="66" spans="1:7">
      <c r="A66" s="279"/>
      <c r="B66" s="22" t="str">
        <f t="shared" si="1"/>
        <v>SS Corridor/Transition Manufacturing Facility</v>
      </c>
      <c r="C66" s="77">
        <v>0.5</v>
      </c>
      <c r="E66" s="89" t="s">
        <v>914</v>
      </c>
      <c r="F66" s="88" t="s">
        <v>1032</v>
      </c>
      <c r="G66" s="88" t="s">
        <v>60</v>
      </c>
    </row>
    <row r="67" spans="1:7">
      <c r="A67" s="279"/>
      <c r="B67" s="22" t="str">
        <f t="shared" si="1"/>
        <v>SS Courthouse/Police Station/Penitentiary Confinement Cells</v>
      </c>
      <c r="C67" s="77">
        <v>1.1000000000000001</v>
      </c>
      <c r="E67" s="89" t="s">
        <v>914</v>
      </c>
      <c r="F67" s="88" t="s">
        <v>974</v>
      </c>
      <c r="G67" s="88" t="s">
        <v>1042</v>
      </c>
    </row>
    <row r="68" spans="1:7">
      <c r="A68" s="279"/>
      <c r="B68" s="22" t="str">
        <f t="shared" si="1"/>
        <v>SS Courthouse/Police Station/Penitentiary Courtroom</v>
      </c>
      <c r="C68" s="77">
        <v>2.1</v>
      </c>
      <c r="E68" s="89" t="s">
        <v>914</v>
      </c>
      <c r="F68" s="88" t="s">
        <v>974</v>
      </c>
      <c r="G68" s="88" t="s">
        <v>882</v>
      </c>
    </row>
    <row r="69" spans="1:7">
      <c r="A69" s="279"/>
      <c r="B69" s="22" t="str">
        <f t="shared" si="1"/>
        <v>SS Courthouse/Police Station/Penitentiary Judges’ Chambers</v>
      </c>
      <c r="C69" s="77">
        <v>1.1000000000000001</v>
      </c>
      <c r="E69" s="89" t="s">
        <v>914</v>
      </c>
      <c r="F69" s="88" t="s">
        <v>974</v>
      </c>
      <c r="G69" s="88" t="s">
        <v>1043</v>
      </c>
    </row>
    <row r="70" spans="1:7">
      <c r="A70" s="279"/>
      <c r="B70" s="22" t="str">
        <f t="shared" si="1"/>
        <v>SS Dining Area Bar Lounge/Leisure Dining</v>
      </c>
      <c r="C70" s="77">
        <v>1.2</v>
      </c>
      <c r="E70" s="89" t="s">
        <v>914</v>
      </c>
      <c r="F70" s="88" t="s">
        <v>884</v>
      </c>
      <c r="G70" s="88" t="s">
        <v>1028</v>
      </c>
    </row>
    <row r="71" spans="1:7">
      <c r="A71" s="279"/>
      <c r="B71" s="22" t="str">
        <f t="shared" si="1"/>
        <v>SS Dining Area Family Dining</v>
      </c>
      <c r="C71" s="77">
        <v>2.2000000000000002</v>
      </c>
      <c r="E71" s="89" t="s">
        <v>914</v>
      </c>
      <c r="F71" s="88" t="s">
        <v>884</v>
      </c>
      <c r="G71" s="88" t="s">
        <v>1029</v>
      </c>
    </row>
    <row r="72" spans="1:7">
      <c r="A72" s="279"/>
      <c r="B72" s="22" t="str">
        <f t="shared" si="1"/>
        <v>SS Dining Area Hotel</v>
      </c>
      <c r="C72" s="77">
        <v>1</v>
      </c>
      <c r="E72" s="89" t="s">
        <v>914</v>
      </c>
      <c r="F72" s="88" t="s">
        <v>884</v>
      </c>
      <c r="G72" s="88" t="s">
        <v>514</v>
      </c>
    </row>
    <row r="73" spans="1:7">
      <c r="A73" s="279"/>
      <c r="B73" s="22" t="str">
        <f t="shared" si="1"/>
        <v>SS Dining Area Motel</v>
      </c>
      <c r="C73" s="77">
        <v>1.2</v>
      </c>
      <c r="E73" s="89" t="s">
        <v>914</v>
      </c>
      <c r="F73" s="88" t="s">
        <v>884</v>
      </c>
      <c r="G73" s="88" t="s">
        <v>61</v>
      </c>
    </row>
    <row r="74" spans="1:7">
      <c r="A74" s="279"/>
      <c r="B74" s="22" t="str">
        <f t="shared" si="1"/>
        <v>SS Dormitory Living Quarters</v>
      </c>
      <c r="C74" s="77">
        <v>1.9</v>
      </c>
      <c r="E74" s="89" t="s">
        <v>914</v>
      </c>
      <c r="F74" s="90" t="s">
        <v>44</v>
      </c>
      <c r="G74" s="90" t="s">
        <v>1069</v>
      </c>
    </row>
    <row r="75" spans="1:7">
      <c r="A75" s="279"/>
      <c r="B75" s="22" t="str">
        <f t="shared" si="1"/>
        <v xml:space="preserve">SS Dressing/Locker/Fitting Room </v>
      </c>
      <c r="C75" s="77">
        <v>0.8</v>
      </c>
      <c r="E75" s="89" t="s">
        <v>914</v>
      </c>
      <c r="F75" s="88" t="s">
        <v>1031</v>
      </c>
      <c r="G75" s="90"/>
    </row>
    <row r="76" spans="1:7">
      <c r="A76" s="279"/>
      <c r="B76" s="22" t="str">
        <f t="shared" si="1"/>
        <v>SS Fire Stations Engine Room</v>
      </c>
      <c r="C76" s="77">
        <v>0.9</v>
      </c>
      <c r="E76" s="89" t="s">
        <v>914</v>
      </c>
      <c r="F76" s="88" t="s">
        <v>978</v>
      </c>
      <c r="G76" s="88" t="s">
        <v>1044</v>
      </c>
    </row>
    <row r="77" spans="1:7">
      <c r="A77" s="279"/>
      <c r="B77" s="22" t="str">
        <f t="shared" si="1"/>
        <v>SS Fire Stations Sleeping Quarters</v>
      </c>
      <c r="C77" s="77">
        <v>1.1000000000000001</v>
      </c>
      <c r="E77" s="89" t="s">
        <v>914</v>
      </c>
      <c r="F77" s="88" t="s">
        <v>978</v>
      </c>
      <c r="G77" s="88" t="s">
        <v>1045</v>
      </c>
    </row>
    <row r="78" spans="1:7">
      <c r="A78" s="279"/>
      <c r="B78" s="22" t="str">
        <f t="shared" si="1"/>
        <v>SS Gymnasium/Exercise Center Exercise Area</v>
      </c>
      <c r="C78" s="77">
        <v>1.1000000000000001</v>
      </c>
      <c r="E78" s="89" t="s">
        <v>914</v>
      </c>
      <c r="F78" s="88" t="s">
        <v>1039</v>
      </c>
      <c r="G78" s="88" t="s">
        <v>1041</v>
      </c>
    </row>
    <row r="79" spans="1:7">
      <c r="A79" s="279"/>
      <c r="B79" s="22" t="str">
        <f t="shared" si="1"/>
        <v>SS Gymnasium/Exercise Center Playing Area</v>
      </c>
      <c r="C79" s="77">
        <v>1.9</v>
      </c>
      <c r="E79" s="89" t="s">
        <v>914</v>
      </c>
      <c r="F79" s="88" t="s">
        <v>1039</v>
      </c>
      <c r="G79" s="88" t="s">
        <v>1040</v>
      </c>
    </row>
    <row r="80" spans="1:7">
      <c r="A80" s="279"/>
      <c r="B80" s="22" t="str">
        <f t="shared" si="1"/>
        <v>SS Hospital Emergency</v>
      </c>
      <c r="C80" s="77">
        <v>2.8</v>
      </c>
      <c r="E80" s="89" t="s">
        <v>914</v>
      </c>
      <c r="F80" s="88" t="s">
        <v>56</v>
      </c>
      <c r="G80" s="88" t="s">
        <v>1051</v>
      </c>
    </row>
    <row r="81" spans="1:7">
      <c r="A81" s="279"/>
      <c r="B81" s="22" t="str">
        <f t="shared" si="1"/>
        <v>SS Hospital Exam/Treatment</v>
      </c>
      <c r="C81" s="77">
        <v>1.6</v>
      </c>
      <c r="E81" s="89" t="s">
        <v>914</v>
      </c>
      <c r="F81" s="88" t="s">
        <v>56</v>
      </c>
      <c r="G81" s="88" t="s">
        <v>1054</v>
      </c>
    </row>
    <row r="82" spans="1:7">
      <c r="A82" s="279"/>
      <c r="B82" s="22" t="str">
        <f t="shared" si="1"/>
        <v>SS Hospital Laundry—Washing</v>
      </c>
      <c r="C82" s="77">
        <v>0.7</v>
      </c>
      <c r="E82" s="89" t="s">
        <v>914</v>
      </c>
      <c r="F82" s="88" t="s">
        <v>56</v>
      </c>
      <c r="G82" s="88" t="s">
        <v>1062</v>
      </c>
    </row>
    <row r="83" spans="1:7">
      <c r="A83" s="279"/>
      <c r="B83" s="22" t="str">
        <f t="shared" si="1"/>
        <v>SS Hospital Medical Supply</v>
      </c>
      <c r="C83" s="77">
        <v>3</v>
      </c>
      <c r="E83" s="89" t="s">
        <v>914</v>
      </c>
      <c r="F83" s="88" t="s">
        <v>56</v>
      </c>
      <c r="G83" s="88" t="s">
        <v>1059</v>
      </c>
    </row>
    <row r="84" spans="1:7">
      <c r="A84" s="279"/>
      <c r="B84" s="22" t="str">
        <f t="shared" si="1"/>
        <v>SS Hospital Nursery</v>
      </c>
      <c r="C84" s="77">
        <v>1</v>
      </c>
      <c r="E84" s="89" t="s">
        <v>914</v>
      </c>
      <c r="F84" s="88" t="s">
        <v>56</v>
      </c>
      <c r="G84" s="88" t="s">
        <v>1058</v>
      </c>
    </row>
    <row r="85" spans="1:7">
      <c r="A85" s="279"/>
      <c r="B85" s="22" t="str">
        <f t="shared" si="1"/>
        <v>SS Hospital Nurses’ Station</v>
      </c>
      <c r="C85" s="77">
        <v>1.8</v>
      </c>
      <c r="E85" s="89" t="s">
        <v>914</v>
      </c>
      <c r="F85" s="88" t="s">
        <v>56</v>
      </c>
      <c r="G85" s="88" t="s">
        <v>1053</v>
      </c>
    </row>
    <row r="86" spans="1:7">
      <c r="A86" s="279"/>
      <c r="B86" s="22" t="str">
        <f t="shared" si="1"/>
        <v>SS Hospital Operating Room</v>
      </c>
      <c r="C86" s="77">
        <v>7.6</v>
      </c>
      <c r="E86" s="89" t="s">
        <v>914</v>
      </c>
      <c r="F86" s="88" t="s">
        <v>56</v>
      </c>
      <c r="G86" s="88" t="s">
        <v>1057</v>
      </c>
    </row>
    <row r="87" spans="1:7">
      <c r="A87" s="279"/>
      <c r="B87" s="22" t="str">
        <f t="shared" si="1"/>
        <v>SS Hospital Patient Room</v>
      </c>
      <c r="C87" s="77">
        <v>1.2</v>
      </c>
      <c r="E87" s="89" t="s">
        <v>914</v>
      </c>
      <c r="F87" s="88" t="s">
        <v>56</v>
      </c>
      <c r="G87" s="88" t="s">
        <v>1056</v>
      </c>
    </row>
    <row r="88" spans="1:7">
      <c r="A88" s="279"/>
      <c r="B88" s="22" t="str">
        <f t="shared" si="1"/>
        <v>SS Hospital Pharmacy</v>
      </c>
      <c r="C88" s="77">
        <v>2.2999999999999998</v>
      </c>
      <c r="E88" s="89" t="s">
        <v>914</v>
      </c>
      <c r="F88" s="88" t="s">
        <v>56</v>
      </c>
      <c r="G88" s="88" t="s">
        <v>1055</v>
      </c>
    </row>
    <row r="89" spans="1:7">
      <c r="A89" s="279"/>
      <c r="B89" s="22" t="str">
        <f t="shared" si="1"/>
        <v>SS Hospital Physical Therapy</v>
      </c>
      <c r="C89" s="77">
        <v>1.9</v>
      </c>
      <c r="E89" s="89" t="s">
        <v>914</v>
      </c>
      <c r="F89" s="88" t="s">
        <v>56</v>
      </c>
      <c r="G89" s="88" t="s">
        <v>1060</v>
      </c>
    </row>
    <row r="90" spans="1:7">
      <c r="A90" s="279"/>
      <c r="B90" s="22" t="str">
        <f t="shared" si="1"/>
        <v>SS Hospital Radiology</v>
      </c>
      <c r="C90" s="77">
        <v>0.4</v>
      </c>
      <c r="E90" s="89" t="s">
        <v>914</v>
      </c>
      <c r="F90" s="88" t="s">
        <v>56</v>
      </c>
      <c r="G90" s="88" t="s">
        <v>1061</v>
      </c>
    </row>
    <row r="91" spans="1:7">
      <c r="A91" s="279"/>
      <c r="B91" s="22" t="str">
        <f t="shared" si="1"/>
        <v>SS Hospital Recovery</v>
      </c>
      <c r="C91" s="77">
        <v>2.6</v>
      </c>
      <c r="E91" s="89" t="s">
        <v>914</v>
      </c>
      <c r="F91" s="88" t="s">
        <v>56</v>
      </c>
      <c r="G91" s="88" t="s">
        <v>1052</v>
      </c>
    </row>
    <row r="92" spans="1:7">
      <c r="A92" s="279"/>
      <c r="B92" s="22" t="str">
        <f t="shared" si="1"/>
        <v>SS Hotel/Motel Guest Rooms</v>
      </c>
      <c r="C92" s="77">
        <v>2.5</v>
      </c>
      <c r="E92" s="89" t="s">
        <v>914</v>
      </c>
      <c r="F92" s="90" t="s">
        <v>861</v>
      </c>
      <c r="G92" s="90" t="s">
        <v>1068</v>
      </c>
    </row>
    <row r="93" spans="1:7">
      <c r="A93" s="279"/>
      <c r="B93" s="22" t="str">
        <f t="shared" si="1"/>
        <v>SS Inactive Storage Museum</v>
      </c>
      <c r="C93" s="77">
        <v>1.4</v>
      </c>
      <c r="E93" s="89" t="s">
        <v>914</v>
      </c>
      <c r="F93" s="88" t="s">
        <v>1035</v>
      </c>
      <c r="G93" s="88" t="s">
        <v>532</v>
      </c>
    </row>
    <row r="94" spans="1:7">
      <c r="A94" s="279"/>
      <c r="B94" s="22" t="str">
        <f t="shared" si="1"/>
        <v xml:space="preserve">SS Laboratory </v>
      </c>
      <c r="C94" s="77">
        <v>1.8</v>
      </c>
      <c r="E94" s="89" t="s">
        <v>914</v>
      </c>
      <c r="F94" s="88" t="s">
        <v>892</v>
      </c>
    </row>
    <row r="95" spans="1:7">
      <c r="A95" s="279"/>
      <c r="B95" s="22" t="str">
        <f t="shared" si="1"/>
        <v>SS Library Card File and Cataloging</v>
      </c>
      <c r="C95" s="77">
        <v>1.4</v>
      </c>
      <c r="E95" s="89" t="s">
        <v>914</v>
      </c>
      <c r="F95" s="88" t="s">
        <v>59</v>
      </c>
      <c r="G95" s="88" t="s">
        <v>1048</v>
      </c>
    </row>
    <row r="96" spans="1:7">
      <c r="A96" s="279"/>
      <c r="B96" s="22" t="str">
        <f t="shared" si="1"/>
        <v>SS Library Reading Area</v>
      </c>
      <c r="C96" s="77">
        <v>1.8</v>
      </c>
      <c r="E96" s="89" t="s">
        <v>914</v>
      </c>
      <c r="F96" s="88" t="s">
        <v>59</v>
      </c>
      <c r="G96" s="88" t="s">
        <v>1050</v>
      </c>
    </row>
    <row r="97" spans="1:7">
      <c r="A97" s="279"/>
      <c r="B97" s="22" t="str">
        <f t="shared" si="1"/>
        <v>SS Library Stacks</v>
      </c>
      <c r="C97" s="77">
        <v>1.9</v>
      </c>
      <c r="E97" s="89" t="s">
        <v>914</v>
      </c>
      <c r="F97" s="88" t="s">
        <v>59</v>
      </c>
      <c r="G97" s="88" t="s">
        <v>1049</v>
      </c>
    </row>
    <row r="98" spans="1:7">
      <c r="A98" s="279"/>
      <c r="B98" s="22" t="str">
        <f t="shared" ref="B98:B123" si="2">E98&amp;" "&amp;F98&amp;" "&amp;G98</f>
        <v>SS Lobby Hotel</v>
      </c>
      <c r="C98" s="77">
        <v>1.7</v>
      </c>
      <c r="E98" s="89" t="s">
        <v>914</v>
      </c>
      <c r="F98" s="88" t="s">
        <v>896</v>
      </c>
      <c r="G98" s="90" t="s">
        <v>514</v>
      </c>
    </row>
    <row r="99" spans="1:7">
      <c r="A99" s="279"/>
      <c r="B99" s="22" t="str">
        <f t="shared" si="2"/>
        <v>SS Lobby Motion Picture Theater</v>
      </c>
      <c r="C99" s="77">
        <v>0.8</v>
      </c>
      <c r="E99" s="89" t="s">
        <v>914</v>
      </c>
      <c r="F99" s="88" t="s">
        <v>896</v>
      </c>
      <c r="G99" s="90" t="s">
        <v>524</v>
      </c>
    </row>
    <row r="100" spans="1:7">
      <c r="A100" s="279"/>
      <c r="B100" s="22" t="str">
        <f t="shared" si="2"/>
        <v>SS Lobby Performing Arts Theater</v>
      </c>
      <c r="C100" s="77">
        <v>1.2</v>
      </c>
      <c r="E100" s="89" t="s">
        <v>914</v>
      </c>
      <c r="F100" s="88" t="s">
        <v>896</v>
      </c>
      <c r="G100" s="90" t="s">
        <v>542</v>
      </c>
    </row>
    <row r="101" spans="1:7">
      <c r="A101" s="279"/>
      <c r="B101" s="22" t="str">
        <f t="shared" si="2"/>
        <v>SS Manufacturing Control Room</v>
      </c>
      <c r="C101" s="77">
        <v>0.5</v>
      </c>
      <c r="E101" s="89" t="s">
        <v>914</v>
      </c>
      <c r="F101" s="88" t="s">
        <v>881</v>
      </c>
      <c r="G101" s="88" t="s">
        <v>1067</v>
      </c>
    </row>
    <row r="102" spans="1:7">
      <c r="A102" s="279"/>
      <c r="B102" s="22" t="str">
        <f t="shared" si="2"/>
        <v>SS Manufacturing Detailed Manufacturing</v>
      </c>
      <c r="C102" s="77">
        <v>6.2</v>
      </c>
      <c r="E102" s="89" t="s">
        <v>914</v>
      </c>
      <c r="F102" s="88" t="s">
        <v>881</v>
      </c>
      <c r="G102" s="88" t="s">
        <v>1066</v>
      </c>
    </row>
    <row r="103" spans="1:7">
      <c r="A103" s="279"/>
      <c r="B103" s="22" t="str">
        <f t="shared" si="2"/>
        <v>SS Manufacturing Equipment Room</v>
      </c>
      <c r="C103" s="77">
        <v>0.8</v>
      </c>
      <c r="E103" s="89" t="s">
        <v>914</v>
      </c>
      <c r="F103" s="88" t="s">
        <v>881</v>
      </c>
      <c r="G103" s="88" t="s">
        <v>111</v>
      </c>
    </row>
    <row r="104" spans="1:7">
      <c r="A104" s="279"/>
      <c r="B104" s="22" t="str">
        <f t="shared" si="2"/>
        <v>SS Manufacturing High Bay (³25 ft Floor to Ceiling Height)</v>
      </c>
      <c r="C104" s="77">
        <v>3</v>
      </c>
      <c r="E104" s="89" t="s">
        <v>914</v>
      </c>
      <c r="F104" s="88" t="s">
        <v>881</v>
      </c>
      <c r="G104" s="88" t="s">
        <v>1065</v>
      </c>
    </row>
    <row r="105" spans="1:7">
      <c r="A105" s="279"/>
      <c r="B105" s="22" t="str">
        <f t="shared" si="2"/>
        <v>SS Manufacturing Low Bay (&lt;25 ft Floor to Ceiling Height)</v>
      </c>
      <c r="C105" s="77">
        <v>2.1</v>
      </c>
      <c r="E105" s="89" t="s">
        <v>914</v>
      </c>
      <c r="F105" s="88" t="s">
        <v>881</v>
      </c>
      <c r="G105" s="88" t="s">
        <v>1064</v>
      </c>
    </row>
    <row r="106" spans="1:7">
      <c r="A106" s="279"/>
      <c r="B106" s="22" t="str">
        <f t="shared" si="2"/>
        <v>SS Manufacturing Workshop</v>
      </c>
      <c r="C106" s="77">
        <v>2.5</v>
      </c>
      <c r="E106" s="89" t="s">
        <v>914</v>
      </c>
      <c r="F106" s="88" t="s">
        <v>881</v>
      </c>
      <c r="G106" s="88" t="s">
        <v>84</v>
      </c>
    </row>
    <row r="107" spans="1:7">
      <c r="A107" s="279"/>
      <c r="B107" s="22" t="str">
        <f t="shared" si="2"/>
        <v>SS Museum General Exhibition</v>
      </c>
      <c r="C107" s="77">
        <v>1.6</v>
      </c>
      <c r="E107" s="89" t="s">
        <v>914</v>
      </c>
      <c r="F107" s="88" t="s">
        <v>532</v>
      </c>
      <c r="G107" s="88" t="s">
        <v>1070</v>
      </c>
    </row>
    <row r="108" spans="1:7">
      <c r="A108" s="279"/>
      <c r="B108" s="22" t="str">
        <f t="shared" si="2"/>
        <v>SS Museum Restoration</v>
      </c>
      <c r="C108" s="77">
        <v>2.5</v>
      </c>
      <c r="E108" s="89" t="s">
        <v>914</v>
      </c>
      <c r="F108" s="88" t="s">
        <v>532</v>
      </c>
      <c r="G108" s="88" t="s">
        <v>1071</v>
      </c>
    </row>
    <row r="109" spans="1:7">
      <c r="A109" s="279"/>
      <c r="B109" s="22" t="str">
        <f t="shared" si="2"/>
        <v>SS Parking Garage Attendant Only</v>
      </c>
      <c r="C109" s="77">
        <v>0.1</v>
      </c>
      <c r="E109" s="89" t="s">
        <v>914</v>
      </c>
      <c r="F109" s="90" t="s">
        <v>67</v>
      </c>
      <c r="G109" s="90" t="s">
        <v>1090</v>
      </c>
    </row>
    <row r="110" spans="1:7">
      <c r="A110" s="279"/>
      <c r="B110" s="22" t="str">
        <f t="shared" si="2"/>
        <v>SS Parking Garage Pedestrian</v>
      </c>
      <c r="C110" s="77">
        <v>0.2</v>
      </c>
      <c r="E110" s="89" t="s">
        <v>914</v>
      </c>
      <c r="F110" s="90" t="s">
        <v>67</v>
      </c>
      <c r="G110" s="90" t="s">
        <v>1091</v>
      </c>
    </row>
    <row r="111" spans="1:7">
      <c r="A111" s="279"/>
      <c r="B111" s="22" t="str">
        <f t="shared" si="2"/>
        <v>SS Post Office Sorting Area</v>
      </c>
      <c r="C111" s="77">
        <v>1.7</v>
      </c>
      <c r="E111" s="89" t="s">
        <v>914</v>
      </c>
      <c r="F111" s="90" t="s">
        <v>73</v>
      </c>
      <c r="G111" s="90" t="s">
        <v>1092</v>
      </c>
    </row>
    <row r="112" spans="1:7">
      <c r="A112" s="279"/>
      <c r="B112" s="22" t="str">
        <f t="shared" si="2"/>
        <v>SS Religious Buildings Fellowship Hall</v>
      </c>
      <c r="C112" s="77">
        <v>2.2999999999999998</v>
      </c>
      <c r="E112" s="89" t="s">
        <v>914</v>
      </c>
      <c r="F112" s="88" t="s">
        <v>991</v>
      </c>
      <c r="G112" s="88" t="s">
        <v>942</v>
      </c>
    </row>
    <row r="113" spans="1:7">
      <c r="A113" s="279"/>
      <c r="B113" s="22" t="str">
        <f t="shared" si="2"/>
        <v>SS Religious Buildings Worship Pulpit, Choir</v>
      </c>
      <c r="C113" s="77">
        <v>5.2</v>
      </c>
      <c r="E113" s="89" t="s">
        <v>914</v>
      </c>
      <c r="F113" s="88" t="s">
        <v>991</v>
      </c>
      <c r="G113" s="88" t="s">
        <v>1072</v>
      </c>
    </row>
    <row r="114" spans="1:7">
      <c r="A114" s="279"/>
      <c r="B114" s="22" t="str">
        <f t="shared" si="2"/>
        <v>SS Retail Mall Concourse</v>
      </c>
      <c r="C114" s="77">
        <v>1.8</v>
      </c>
      <c r="E114" s="89" t="s">
        <v>914</v>
      </c>
      <c r="F114" s="88" t="s">
        <v>68</v>
      </c>
      <c r="G114" s="88" t="s">
        <v>1074</v>
      </c>
    </row>
    <row r="115" spans="1:7">
      <c r="A115" s="279"/>
      <c r="B115" s="22" t="str">
        <f t="shared" si="2"/>
        <v>SS Retail Sales Area</v>
      </c>
      <c r="C115" s="77">
        <v>2.1</v>
      </c>
      <c r="D115" s="55" t="s">
        <v>1093</v>
      </c>
      <c r="E115" s="89" t="s">
        <v>914</v>
      </c>
      <c r="F115" s="88" t="s">
        <v>68</v>
      </c>
      <c r="G115" s="90" t="s">
        <v>906</v>
      </c>
    </row>
    <row r="116" spans="1:7">
      <c r="A116" s="279"/>
      <c r="B116" s="22" t="str">
        <f t="shared" si="2"/>
        <v>SS Sports Arena Court Sports Area</v>
      </c>
      <c r="C116" s="77">
        <v>4.3</v>
      </c>
      <c r="E116" s="89" t="s">
        <v>914</v>
      </c>
      <c r="F116" s="88" t="s">
        <v>79</v>
      </c>
      <c r="G116" s="88" t="s">
        <v>1076</v>
      </c>
    </row>
    <row r="117" spans="1:7">
      <c r="A117" s="279"/>
      <c r="B117" s="22" t="str">
        <f t="shared" si="2"/>
        <v>SS Sports Arena Indoor Playing Field Area</v>
      </c>
      <c r="C117" s="77">
        <v>1.9</v>
      </c>
      <c r="E117" s="89" t="s">
        <v>914</v>
      </c>
      <c r="F117" s="88" t="s">
        <v>79</v>
      </c>
      <c r="G117" s="88" t="s">
        <v>1077</v>
      </c>
    </row>
    <row r="118" spans="1:7">
      <c r="A118" s="279"/>
      <c r="B118" s="22" t="str">
        <f t="shared" si="2"/>
        <v>SS Sports Arena Ring Sports Area</v>
      </c>
      <c r="C118" s="77">
        <v>3.8</v>
      </c>
      <c r="E118" s="89" t="s">
        <v>914</v>
      </c>
      <c r="F118" s="88" t="s">
        <v>79</v>
      </c>
      <c r="G118" s="88" t="s">
        <v>1075</v>
      </c>
    </row>
    <row r="119" spans="1:7">
      <c r="A119" s="279"/>
      <c r="B119" s="22" t="str">
        <f t="shared" si="2"/>
        <v>SS Transportation Air/Train/Bus—Baggage Area</v>
      </c>
      <c r="C119" s="77">
        <v>1.3</v>
      </c>
      <c r="E119" s="89" t="s">
        <v>914</v>
      </c>
      <c r="F119" s="88" t="s">
        <v>81</v>
      </c>
      <c r="G119" s="88" t="s">
        <v>1082</v>
      </c>
    </row>
    <row r="120" spans="1:7">
      <c r="A120" s="279"/>
      <c r="B120" s="22" t="str">
        <f t="shared" si="2"/>
        <v>SS Transportation Airport—Concourse</v>
      </c>
      <c r="C120" s="77">
        <v>0.7</v>
      </c>
      <c r="E120" s="89" t="s">
        <v>914</v>
      </c>
      <c r="F120" s="88" t="s">
        <v>81</v>
      </c>
      <c r="G120" s="88" t="s">
        <v>1081</v>
      </c>
    </row>
    <row r="121" spans="1:7">
      <c r="A121" s="279"/>
      <c r="B121" s="22" t="str">
        <f t="shared" si="2"/>
        <v>SS Transportation Terminal—Ticket Counter</v>
      </c>
      <c r="C121" s="77">
        <v>1.8</v>
      </c>
      <c r="E121" s="89" t="s">
        <v>914</v>
      </c>
      <c r="F121" s="88" t="s">
        <v>81</v>
      </c>
      <c r="G121" s="88" t="s">
        <v>1083</v>
      </c>
    </row>
    <row r="122" spans="1:7">
      <c r="A122" s="279"/>
      <c r="B122" s="22" t="str">
        <f t="shared" si="2"/>
        <v>SS Warehouse Fine Material Storage</v>
      </c>
      <c r="C122" s="77">
        <v>1.6</v>
      </c>
      <c r="E122" s="89" t="s">
        <v>914</v>
      </c>
      <c r="F122" s="88" t="s">
        <v>82</v>
      </c>
      <c r="G122" s="88" t="s">
        <v>1078</v>
      </c>
    </row>
    <row r="123" spans="1:7">
      <c r="A123" s="279"/>
      <c r="B123" s="22" t="str">
        <f t="shared" si="2"/>
        <v>SS Warehouse Medium/Bulky Material Storage</v>
      </c>
      <c r="C123" s="77">
        <v>1.1000000000000001</v>
      </c>
      <c r="E123" s="89" t="s">
        <v>914</v>
      </c>
      <c r="F123" s="88" t="s">
        <v>82</v>
      </c>
      <c r="G123" s="88" t="s">
        <v>1079</v>
      </c>
    </row>
  </sheetData>
  <sortState xmlns:xlrd2="http://schemas.microsoft.com/office/spreadsheetml/2017/richdata2" ref="B35:G125">
    <sortCondition ref="E35:E125"/>
    <sortCondition ref="F35:F125"/>
  </sortState>
  <mergeCells count="3">
    <mergeCell ref="A2:A32"/>
    <mergeCell ref="A33:A49"/>
    <mergeCell ref="A50:A123"/>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Architectural Energy Corp</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Kimberly Goodrich</dc:creator>
  <cp:keywords/>
  <dc:description/>
  <cp:lastModifiedBy>Charles Eley</cp:lastModifiedBy>
  <cp:revision/>
  <dcterms:created xsi:type="dcterms:W3CDTF">2009-09-08T20:59:43Z</dcterms:created>
  <dcterms:modified xsi:type="dcterms:W3CDTF">2021-11-02T17:12:36Z</dcterms:modified>
  <cp:category/>
  <cp:contentStatus/>
</cp:coreProperties>
</file>